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showInkAnnotation="0" codeName="ThisWorkbook" autoCompressPictures="0"/>
  <mc:AlternateContent xmlns:mc="http://schemas.openxmlformats.org/markup-compatibility/2006">
    <mc:Choice Requires="x15">
      <x15ac:absPath xmlns:x15ac="http://schemas.microsoft.com/office/spreadsheetml/2010/11/ac" url="/Users/christian/Library/Mobile Documents/com~apple~CloudDocs/COURS MÉRICI/Été 2021/Finance gaganante (430-853-ME)/Les Multiples Plaisirs Gourmands/"/>
    </mc:Choice>
  </mc:AlternateContent>
  <xr:revisionPtr revIDLastSave="0" documentId="8_{F10D0C00-0EA2-DA48-9C1C-39A8F4CE36C7}" xr6:coauthVersionLast="47" xr6:coauthVersionMax="47" xr10:uidLastSave="{00000000-0000-0000-0000-000000000000}"/>
  <bookViews>
    <workbookView xWindow="0" yWindow="460" windowWidth="38400" windowHeight="19200" tabRatio="728" firstSheet="4" activeTab="5" xr2:uid="{00000000-000D-0000-FFFF-FFFF00000000}"/>
  </bookViews>
  <sheets>
    <sheet name="Calendrier 2021" sheetId="3" r:id="rId1"/>
    <sheet name="Achalandage 2021" sheetId="1" r:id="rId2"/>
    <sheet name="% Occupation" sheetId="2" r:id="rId3"/>
    <sheet name="Formule pour le calcul D" sheetId="5" r:id="rId4"/>
    <sheet name="Calcul CmO et PmO" sheetId="23" r:id="rId5"/>
    <sheet name="Coût marchandises vendues" sheetId="7" r:id="rId6"/>
    <sheet name=" Total des coûts de MO" sheetId="9" r:id="rId7"/>
    <sheet name="Salaire (planification)" sheetId="8" r:id="rId8"/>
    <sheet name="Coût d'occupation " sheetId="10" r:id="rId9"/>
    <sheet name="Coût direct d'exploitation " sheetId="11" r:id="rId10"/>
    <sheet name="Musique &amp; Divertissement" sheetId="12" r:id="rId11"/>
    <sheet name="Mark &amp; Communication marketing" sheetId="13" r:id="rId12"/>
    <sheet name="Services publics" sheetId="14" r:id="rId13"/>
    <sheet name="Administration &amp; Frais généraux" sheetId="15" r:id="rId14"/>
    <sheet name="Entretien &amp; Réparation" sheetId="16" r:id="rId15"/>
    <sheet name="Frais financier" sheetId="17" r:id="rId16"/>
    <sheet name="Amortissement" sheetId="18" r:id="rId17"/>
    <sheet name="État des Résultats" sheetId="6" r:id="rId18"/>
    <sheet name="Bilan début-fin" sheetId="19" r:id="rId19"/>
    <sheet name="Tableau de trésorerie" sheetId="21" r:id="rId20"/>
    <sheet name="Ind. de performance" sheetId="22" r:id="rId21"/>
    <sheet name="Questions" sheetId="20" r:id="rId22"/>
  </sheets>
  <externalReferences>
    <externalReference r:id="rId23"/>
    <externalReference r:id="rId24"/>
  </externalReferences>
  <definedNames>
    <definedName name="image1" localSheetId="6">#REF!</definedName>
    <definedName name="image1" localSheetId="1">#REF!</definedName>
    <definedName name="image1" localSheetId="13">#REF!</definedName>
    <definedName name="image1" localSheetId="16">#REF!</definedName>
    <definedName name="image1" localSheetId="18">#REF!</definedName>
    <definedName name="image1" localSheetId="4">#REF!</definedName>
    <definedName name="image1" localSheetId="0">#REF!</definedName>
    <definedName name="image1" localSheetId="8">#REF!</definedName>
    <definedName name="image1" localSheetId="9">#REF!</definedName>
    <definedName name="image1" localSheetId="5">#REF!</definedName>
    <definedName name="image1" localSheetId="14">#REF!</definedName>
    <definedName name="image1" localSheetId="17">#REF!</definedName>
    <definedName name="image1" localSheetId="3">#REF!</definedName>
    <definedName name="image1" localSheetId="15">#REF!</definedName>
    <definedName name="image1" localSheetId="20">#REF!</definedName>
    <definedName name="image1" localSheetId="11">#REF!</definedName>
    <definedName name="image1" localSheetId="10">#REF!</definedName>
    <definedName name="image1" localSheetId="7">#REF!</definedName>
    <definedName name="image1" localSheetId="12">#REF!</definedName>
    <definedName name="image1" localSheetId="19">#REF!</definedName>
    <definedName name="image1">#REF!</definedName>
    <definedName name="image2" localSheetId="6">#REF!</definedName>
    <definedName name="image2" localSheetId="13">#REF!</definedName>
    <definedName name="image2" localSheetId="16">#REF!</definedName>
    <definedName name="image2" localSheetId="8">#REF!</definedName>
    <definedName name="image2" localSheetId="9">#REF!</definedName>
    <definedName name="image2" localSheetId="14">#REF!</definedName>
    <definedName name="image2" localSheetId="17">#REF!</definedName>
    <definedName name="image2" localSheetId="3">#REF!</definedName>
    <definedName name="image2" localSheetId="15">#REF!</definedName>
    <definedName name="image2" localSheetId="20">#REF!</definedName>
    <definedName name="image2" localSheetId="11">#REF!</definedName>
    <definedName name="image2" localSheetId="10">#REF!</definedName>
    <definedName name="image2" localSheetId="7">#REF!</definedName>
    <definedName name="image2" localSheetId="12">#REF!</definedName>
    <definedName name="image2" localSheetId="19">#REF!</definedName>
    <definedName name="image2">#REF!</definedName>
    <definedName name="_xlnm.Print_Area" localSheetId="6">' Total des coûts de MO'!$B$2:$AQ$38</definedName>
    <definedName name="_xlnm.Print_Area" localSheetId="13">'Administration &amp; Frais généraux'!$B$2:$AQ$29</definedName>
    <definedName name="_xlnm.Print_Area" localSheetId="16">Amortissement!$B$2:$AQ$24</definedName>
    <definedName name="_xlnm.Print_Area" localSheetId="18">'Bilan début-fin'!$C$2:$AQ$64</definedName>
    <definedName name="_xlnm.Print_Area" localSheetId="8">'Coût d''occupation '!$B$2:$AQ$26</definedName>
    <definedName name="_xlnm.Print_Area" localSheetId="9">'Coût direct d''exploitation '!$B$2:$AQ$34</definedName>
    <definedName name="_xlnm.Print_Area" localSheetId="5">'Coût marchandises vendues'!$B$2:$AP$37</definedName>
    <definedName name="_xlnm.Print_Area" localSheetId="14">'Entretien &amp; Réparation'!$B$2:$AQ$31</definedName>
    <definedName name="_xlnm.Print_Area" localSheetId="17">'État des Résultats'!$C$2:$AQ$45</definedName>
    <definedName name="_xlnm.Print_Area" localSheetId="15">'Frais financier'!$B$2:$AQ$24</definedName>
    <definedName name="_xlnm.Print_Area" localSheetId="11">'Mark &amp; Communication marketing'!$B$2:$AQ$25</definedName>
    <definedName name="_xlnm.Print_Area" localSheetId="10">'Musique &amp; Divertissement'!$B$2:$AQ$24</definedName>
    <definedName name="_xlnm.Print_Area" localSheetId="7">'Salaire (planification)'!$B$2:$AQ$69</definedName>
    <definedName name="_xlnm.Print_Area" localSheetId="12">'Services publics'!$B$2:$AQ$23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1" i="7" l="1"/>
  <c r="E16" i="19"/>
  <c r="AH47" i="7"/>
  <c r="AH44" i="7"/>
  <c r="AK41" i="7"/>
  <c r="AK47" i="7"/>
  <c r="AK44" i="7"/>
  <c r="AK43" i="7"/>
  <c r="AK42" i="7"/>
  <c r="AK52" i="7"/>
  <c r="AO52" i="7"/>
  <c r="AO35" i="7"/>
  <c r="J38" i="19"/>
  <c r="I26" i="22"/>
  <c r="AM35" i="9"/>
  <c r="AM34" i="9"/>
  <c r="AM33" i="9"/>
  <c r="AM32" i="9"/>
  <c r="AM31" i="9"/>
  <c r="AM30" i="9"/>
  <c r="AM29" i="9"/>
  <c r="AM28" i="9"/>
  <c r="AM27" i="9"/>
  <c r="AJ35" i="9"/>
  <c r="AJ34" i="9"/>
  <c r="AJ33" i="9"/>
  <c r="AJ32" i="9"/>
  <c r="AJ31" i="9"/>
  <c r="AJ30" i="9"/>
  <c r="AJ29" i="9"/>
  <c r="AJ28" i="9"/>
  <c r="AJ27" i="9"/>
  <c r="AG35" i="9"/>
  <c r="AG34" i="9"/>
  <c r="AG33" i="9"/>
  <c r="AG32" i="9"/>
  <c r="AG31" i="9"/>
  <c r="AG30" i="9"/>
  <c r="AG29" i="9"/>
  <c r="AG28" i="9"/>
  <c r="AG27" i="9"/>
  <c r="AD35" i="9"/>
  <c r="AD34" i="9"/>
  <c r="AD33" i="9"/>
  <c r="AD32" i="9"/>
  <c r="AD31" i="9"/>
  <c r="AD30" i="9"/>
  <c r="AD29" i="9"/>
  <c r="AD28" i="9"/>
  <c r="AD27" i="9"/>
  <c r="AA35" i="9"/>
  <c r="AA34" i="9"/>
  <c r="AA33" i="9"/>
  <c r="AA32" i="9"/>
  <c r="AA31" i="9"/>
  <c r="AA30" i="9"/>
  <c r="AA29" i="9"/>
  <c r="AA28" i="9"/>
  <c r="AA27" i="9"/>
  <c r="X35" i="9"/>
  <c r="X34" i="9"/>
  <c r="X33" i="9"/>
  <c r="X32" i="9"/>
  <c r="X31" i="9"/>
  <c r="X30" i="9"/>
  <c r="X29" i="9"/>
  <c r="X28" i="9"/>
  <c r="X27" i="9"/>
  <c r="U35" i="9"/>
  <c r="U34" i="9"/>
  <c r="U33" i="9"/>
  <c r="U32" i="9"/>
  <c r="U31" i="9"/>
  <c r="U30" i="9"/>
  <c r="U29" i="9"/>
  <c r="U28" i="9"/>
  <c r="U27" i="9"/>
  <c r="R35" i="9"/>
  <c r="R34" i="9"/>
  <c r="R33" i="9"/>
  <c r="R32" i="9"/>
  <c r="R31" i="9"/>
  <c r="R30" i="9"/>
  <c r="R29" i="9"/>
  <c r="R28" i="9"/>
  <c r="R27" i="9"/>
  <c r="O35" i="9"/>
  <c r="O34" i="9"/>
  <c r="O33" i="9"/>
  <c r="O32" i="9"/>
  <c r="O31" i="9"/>
  <c r="O30" i="9"/>
  <c r="O29" i="9"/>
  <c r="O28" i="9"/>
  <c r="O27" i="9"/>
  <c r="L35" i="9"/>
  <c r="L34" i="9"/>
  <c r="L33" i="9"/>
  <c r="L32" i="9"/>
  <c r="L31" i="9"/>
  <c r="L30" i="9"/>
  <c r="L29" i="9"/>
  <c r="L28" i="9"/>
  <c r="L27" i="9"/>
  <c r="I35" i="9"/>
  <c r="I34" i="9"/>
  <c r="I33" i="9"/>
  <c r="I32" i="9"/>
  <c r="I31" i="9"/>
  <c r="I30" i="9"/>
  <c r="I29" i="9"/>
  <c r="I28" i="9"/>
  <c r="I27" i="9"/>
  <c r="AM21" i="9"/>
  <c r="AM20" i="9"/>
  <c r="AM19" i="9"/>
  <c r="AM18" i="9"/>
  <c r="AM17" i="9"/>
  <c r="AM16" i="9"/>
  <c r="AM15" i="9"/>
  <c r="AM14" i="9"/>
  <c r="AM13" i="9"/>
  <c r="AJ21" i="9"/>
  <c r="AJ20" i="9"/>
  <c r="AJ19" i="9"/>
  <c r="AJ18" i="9"/>
  <c r="AJ17" i="9"/>
  <c r="AJ16" i="9"/>
  <c r="AJ15" i="9"/>
  <c r="AJ14" i="9"/>
  <c r="AJ13" i="9"/>
  <c r="AG21" i="9"/>
  <c r="AG20" i="9"/>
  <c r="AG19" i="9"/>
  <c r="AG18" i="9"/>
  <c r="AG17" i="9"/>
  <c r="AG16" i="9"/>
  <c r="AG15" i="9"/>
  <c r="AG14" i="9"/>
  <c r="AG13" i="9"/>
  <c r="AD21" i="9"/>
  <c r="AD20" i="9"/>
  <c r="AD19" i="9"/>
  <c r="AD18" i="9"/>
  <c r="AD17" i="9"/>
  <c r="AD16" i="9"/>
  <c r="AD15" i="9"/>
  <c r="AD14" i="9"/>
  <c r="AD13" i="9"/>
  <c r="AA21" i="9"/>
  <c r="AA20" i="9"/>
  <c r="AA19" i="9"/>
  <c r="AA18" i="9"/>
  <c r="AA17" i="9"/>
  <c r="AA16" i="9"/>
  <c r="AA15" i="9"/>
  <c r="AA14" i="9"/>
  <c r="AA13" i="9"/>
  <c r="X21" i="9"/>
  <c r="X20" i="9"/>
  <c r="X19" i="9"/>
  <c r="X18" i="9"/>
  <c r="X17" i="9"/>
  <c r="X16" i="9"/>
  <c r="X15" i="9"/>
  <c r="X14" i="9"/>
  <c r="X13" i="9"/>
  <c r="U21" i="9"/>
  <c r="U20" i="9"/>
  <c r="U19" i="9"/>
  <c r="U18" i="9"/>
  <c r="U17" i="9"/>
  <c r="U16" i="9"/>
  <c r="U15" i="9"/>
  <c r="U14" i="9"/>
  <c r="U13" i="9"/>
  <c r="R21" i="9"/>
  <c r="R20" i="9"/>
  <c r="R19" i="9"/>
  <c r="R18" i="9"/>
  <c r="R17" i="9"/>
  <c r="R16" i="9"/>
  <c r="R15" i="9"/>
  <c r="R14" i="9"/>
  <c r="R13" i="9"/>
  <c r="O21" i="9"/>
  <c r="O20" i="9"/>
  <c r="O19" i="9"/>
  <c r="O18" i="9"/>
  <c r="O17" i="9"/>
  <c r="O16" i="9"/>
  <c r="O15" i="9"/>
  <c r="O14" i="9"/>
  <c r="O13" i="9"/>
  <c r="L21" i="9"/>
  <c r="L20" i="9"/>
  <c r="L19" i="9"/>
  <c r="L18" i="9"/>
  <c r="L17" i="9"/>
  <c r="L16" i="9"/>
  <c r="L15" i="9"/>
  <c r="L14" i="9"/>
  <c r="L13" i="9"/>
  <c r="I21" i="9"/>
  <c r="I20" i="9"/>
  <c r="I19" i="9"/>
  <c r="I18" i="9"/>
  <c r="I17" i="9"/>
  <c r="I16" i="9"/>
  <c r="I15" i="9"/>
  <c r="I14" i="9"/>
  <c r="I13" i="9"/>
  <c r="F35" i="9"/>
  <c r="F28" i="9"/>
  <c r="F29" i="9"/>
  <c r="F30" i="9"/>
  <c r="F31" i="9"/>
  <c r="F32" i="9"/>
  <c r="F33" i="9"/>
  <c r="F34" i="9"/>
  <c r="F27" i="9"/>
  <c r="F14" i="9"/>
  <c r="F15" i="9"/>
  <c r="F16" i="9"/>
  <c r="F17" i="9"/>
  <c r="F18" i="9"/>
  <c r="F19" i="9"/>
  <c r="F20" i="9"/>
  <c r="F21" i="9"/>
  <c r="F13" i="9"/>
  <c r="D47" i="7"/>
  <c r="D41" i="7"/>
  <c r="D26" i="7"/>
  <c r="D44" i="7"/>
  <c r="D29" i="7"/>
  <c r="D31" i="7"/>
  <c r="AP72" i="7"/>
  <c r="AL72" i="7"/>
  <c r="AI72" i="7"/>
  <c r="AF72" i="7"/>
  <c r="AC72" i="7"/>
  <c r="Z72" i="7"/>
  <c r="W72" i="7"/>
  <c r="T72" i="7"/>
  <c r="Q72" i="7"/>
  <c r="AP66" i="7"/>
  <c r="AL66" i="7"/>
  <c r="AI66" i="7"/>
  <c r="AF66" i="7"/>
  <c r="AC66" i="7"/>
  <c r="Z66" i="7"/>
  <c r="W66" i="7"/>
  <c r="T66" i="7"/>
  <c r="Q66" i="7"/>
  <c r="AP65" i="7"/>
  <c r="AL65" i="7"/>
  <c r="AI65" i="7"/>
  <c r="AF65" i="7"/>
  <c r="AC65" i="7"/>
  <c r="Z65" i="7"/>
  <c r="W65" i="7"/>
  <c r="T65" i="7"/>
  <c r="Q65" i="7"/>
  <c r="AL64" i="7"/>
  <c r="AI64" i="7"/>
  <c r="AF64" i="7"/>
  <c r="AC64" i="7"/>
  <c r="Z64" i="7"/>
  <c r="W64" i="7"/>
  <c r="T64" i="7"/>
  <c r="Q64" i="7"/>
  <c r="AP55" i="7"/>
  <c r="AL55" i="7"/>
  <c r="AI55" i="7"/>
  <c r="AF55" i="7"/>
  <c r="AC55" i="7"/>
  <c r="Z55" i="7"/>
  <c r="W55" i="7"/>
  <c r="T55" i="7"/>
  <c r="Q55" i="7"/>
  <c r="AP54" i="7"/>
  <c r="AL54" i="7"/>
  <c r="AI54" i="7"/>
  <c r="AF54" i="7"/>
  <c r="AC54" i="7"/>
  <c r="Z54" i="7"/>
  <c r="W54" i="7"/>
  <c r="T54" i="7"/>
  <c r="Q54" i="7"/>
  <c r="AP49" i="7"/>
  <c r="AL49" i="7"/>
  <c r="AI49" i="7"/>
  <c r="AF49" i="7"/>
  <c r="AC49" i="7"/>
  <c r="Z49" i="7"/>
  <c r="W49" i="7"/>
  <c r="T49" i="7"/>
  <c r="Q49" i="7"/>
  <c r="AP48" i="7"/>
  <c r="AL48" i="7"/>
  <c r="AI48" i="7"/>
  <c r="AF48" i="7"/>
  <c r="AC48" i="7"/>
  <c r="Z48" i="7"/>
  <c r="W48" i="7"/>
  <c r="T48" i="7"/>
  <c r="Q48" i="7"/>
  <c r="AL47" i="7"/>
  <c r="AI47" i="7"/>
  <c r="AF47" i="7"/>
  <c r="AC47" i="7"/>
  <c r="Z47" i="7"/>
  <c r="W47" i="7"/>
  <c r="T47" i="7"/>
  <c r="Q47" i="7"/>
  <c r="AP38" i="7"/>
  <c r="AL38" i="7"/>
  <c r="AI38" i="7"/>
  <c r="AF38" i="7"/>
  <c r="AC38" i="7"/>
  <c r="Z38" i="7"/>
  <c r="W38" i="7"/>
  <c r="T38" i="7"/>
  <c r="Q38" i="7"/>
  <c r="AP32" i="7"/>
  <c r="AL32" i="7"/>
  <c r="AI32" i="7"/>
  <c r="AF32" i="7"/>
  <c r="AC32" i="7"/>
  <c r="Z32" i="7"/>
  <c r="W32" i="7"/>
  <c r="T32" i="7"/>
  <c r="Q32" i="7"/>
  <c r="AP31" i="7"/>
  <c r="AL31" i="7"/>
  <c r="AI31" i="7"/>
  <c r="AF31" i="7"/>
  <c r="AC31" i="7"/>
  <c r="Z31" i="7"/>
  <c r="W31" i="7"/>
  <c r="T31" i="7"/>
  <c r="Q31" i="7"/>
  <c r="N72" i="7"/>
  <c r="N71" i="7"/>
  <c r="N66" i="7"/>
  <c r="N65" i="7"/>
  <c r="N64" i="7"/>
  <c r="N63" i="7"/>
  <c r="N55" i="7"/>
  <c r="N54" i="7"/>
  <c r="N49" i="7"/>
  <c r="N48" i="7"/>
  <c r="N47" i="7"/>
  <c r="N46" i="7"/>
  <c r="N38" i="7"/>
  <c r="N37" i="7"/>
  <c r="N32" i="7"/>
  <c r="N31" i="7"/>
  <c r="K72" i="7"/>
  <c r="K71" i="7"/>
  <c r="K66" i="7"/>
  <c r="K65" i="7"/>
  <c r="K64" i="7"/>
  <c r="K63" i="7"/>
  <c r="K55" i="7"/>
  <c r="K54" i="7"/>
  <c r="K49" i="7"/>
  <c r="K48" i="7"/>
  <c r="K47" i="7"/>
  <c r="K46" i="7"/>
  <c r="K38" i="7"/>
  <c r="K37" i="7"/>
  <c r="K32" i="7"/>
  <c r="K31" i="7"/>
  <c r="H72" i="7"/>
  <c r="H71" i="7"/>
  <c r="H66" i="7"/>
  <c r="H65" i="7"/>
  <c r="H64" i="7"/>
  <c r="H63" i="7"/>
  <c r="H55" i="7"/>
  <c r="H54" i="7"/>
  <c r="H49" i="7"/>
  <c r="H48" i="7"/>
  <c r="H47" i="7"/>
  <c r="H46" i="7"/>
  <c r="H38" i="7"/>
  <c r="H37" i="7"/>
  <c r="H32" i="7"/>
  <c r="H31" i="7"/>
  <c r="AO36" i="7"/>
  <c r="AO37" i="7"/>
  <c r="AE47" i="7"/>
  <c r="AE44" i="7"/>
  <c r="AH41" i="7"/>
  <c r="AH43" i="7"/>
  <c r="AH42" i="7"/>
  <c r="AH52" i="7"/>
  <c r="AH35" i="7"/>
  <c r="AK34" i="7"/>
  <c r="AK35" i="7"/>
  <c r="AK36" i="7"/>
  <c r="AK37" i="7"/>
  <c r="AB47" i="7"/>
  <c r="AB44" i="7"/>
  <c r="AE41" i="7"/>
  <c r="AE43" i="7"/>
  <c r="AE42" i="7"/>
  <c r="AE52" i="7"/>
  <c r="AE35" i="7"/>
  <c r="AH34" i="7"/>
  <c r="AH36" i="7"/>
  <c r="AH37" i="7"/>
  <c r="Y47" i="7"/>
  <c r="Y44" i="7"/>
  <c r="AB41" i="7"/>
  <c r="AB43" i="7"/>
  <c r="AB42" i="7"/>
  <c r="AB52" i="7"/>
  <c r="AB35" i="7"/>
  <c r="AE34" i="7"/>
  <c r="AE36" i="7"/>
  <c r="AE37" i="7"/>
  <c r="V47" i="7"/>
  <c r="V44" i="7"/>
  <c r="Y41" i="7"/>
  <c r="Y43" i="7"/>
  <c r="Y42" i="7"/>
  <c r="Y52" i="7"/>
  <c r="Y35" i="7"/>
  <c r="AB34" i="7"/>
  <c r="AB36" i="7"/>
  <c r="AB37" i="7"/>
  <c r="S47" i="7"/>
  <c r="S44" i="7"/>
  <c r="V41" i="7"/>
  <c r="V43" i="7"/>
  <c r="V42" i="7"/>
  <c r="V52" i="7"/>
  <c r="V35" i="7"/>
  <c r="Y34" i="7"/>
  <c r="Y36" i="7"/>
  <c r="Y37" i="7"/>
  <c r="P47" i="7"/>
  <c r="P44" i="7"/>
  <c r="S41" i="7"/>
  <c r="S43" i="7"/>
  <c r="S42" i="7"/>
  <c r="S52" i="7"/>
  <c r="S35" i="7"/>
  <c r="V34" i="7"/>
  <c r="V36" i="7"/>
  <c r="V37" i="7"/>
  <c r="M47" i="7"/>
  <c r="M44" i="7"/>
  <c r="P41" i="7"/>
  <c r="P43" i="7"/>
  <c r="P42" i="7"/>
  <c r="P52" i="7"/>
  <c r="P35" i="7"/>
  <c r="S34" i="7"/>
  <c r="S36" i="7"/>
  <c r="S37" i="7"/>
  <c r="J47" i="7"/>
  <c r="J44" i="7"/>
  <c r="M41" i="7"/>
  <c r="M43" i="7"/>
  <c r="M42" i="7"/>
  <c r="M52" i="7"/>
  <c r="M35" i="7"/>
  <c r="P34" i="7"/>
  <c r="P36" i="7"/>
  <c r="P37" i="7"/>
  <c r="G47" i="7"/>
  <c r="G44" i="7"/>
  <c r="J41" i="7"/>
  <c r="J43" i="7"/>
  <c r="J42" i="7"/>
  <c r="J52" i="7"/>
  <c r="J35" i="7"/>
  <c r="M34" i="7"/>
  <c r="M36" i="7"/>
  <c r="M37" i="7"/>
  <c r="G41" i="7"/>
  <c r="G43" i="7"/>
  <c r="G42" i="7"/>
  <c r="G52" i="7"/>
  <c r="G35" i="7"/>
  <c r="J34" i="7"/>
  <c r="J36" i="7"/>
  <c r="J37" i="7"/>
  <c r="D43" i="7"/>
  <c r="D42" i="7"/>
  <c r="D52" i="7"/>
  <c r="D35" i="7"/>
  <c r="G34" i="7"/>
  <c r="G36" i="7"/>
  <c r="G37" i="7"/>
  <c r="D36" i="7"/>
  <c r="D37" i="7"/>
  <c r="AK30" i="7"/>
  <c r="AK45" i="7"/>
  <c r="AH45" i="7"/>
  <c r="AE45" i="7"/>
  <c r="AB45" i="7"/>
  <c r="Y45" i="7"/>
  <c r="V45" i="7"/>
  <c r="S45" i="7"/>
  <c r="P45" i="7"/>
  <c r="M45" i="7"/>
  <c r="J45" i="7"/>
  <c r="G45" i="7"/>
  <c r="AO45" i="7"/>
  <c r="E38" i="19"/>
  <c r="AK29" i="7"/>
  <c r="AO29" i="7"/>
  <c r="J16" i="19"/>
  <c r="AO26" i="7"/>
  <c r="H13" i="7"/>
  <c r="H12" i="7"/>
  <c r="H11" i="7"/>
  <c r="E12" i="7"/>
  <c r="AH66" i="7"/>
  <c r="AE66" i="7"/>
  <c r="AB66" i="7"/>
  <c r="Y66" i="7"/>
  <c r="V66" i="7"/>
  <c r="S66" i="7"/>
  <c r="P66" i="7"/>
  <c r="AK64" i="7"/>
  <c r="AH64" i="7"/>
  <c r="AE64" i="7"/>
  <c r="AE61" i="7"/>
  <c r="AB64" i="7"/>
  <c r="Y64" i="7"/>
  <c r="V64" i="7"/>
  <c r="S64" i="7"/>
  <c r="P64" i="7"/>
  <c r="M72" i="7"/>
  <c r="M66" i="7"/>
  <c r="M64" i="7"/>
  <c r="M61" i="7"/>
  <c r="J66" i="7"/>
  <c r="J64" i="7"/>
  <c r="G64" i="7"/>
  <c r="D64" i="7"/>
  <c r="B37" i="7"/>
  <c r="B54" i="7"/>
  <c r="B71" i="7"/>
  <c r="B32" i="7"/>
  <c r="B49" i="7"/>
  <c r="B66" i="7"/>
  <c r="AO72" i="7"/>
  <c r="AK72" i="7"/>
  <c r="AH72" i="7"/>
  <c r="AE72" i="7"/>
  <c r="AB72" i="7"/>
  <c r="Y72" i="7"/>
  <c r="V72" i="7"/>
  <c r="S72" i="7"/>
  <c r="P72" i="7"/>
  <c r="AP71" i="7"/>
  <c r="AL71" i="7"/>
  <c r="AI71" i="7"/>
  <c r="AF71" i="7"/>
  <c r="AC71" i="7"/>
  <c r="Z71" i="7"/>
  <c r="W71" i="7"/>
  <c r="T71" i="7"/>
  <c r="Q71" i="7"/>
  <c r="E71" i="7"/>
  <c r="AO68" i="7"/>
  <c r="G67" i="7"/>
  <c r="B64" i="7"/>
  <c r="Q63" i="7"/>
  <c r="T63" i="7"/>
  <c r="W63" i="7"/>
  <c r="Z63" i="7"/>
  <c r="AC63" i="7"/>
  <c r="AF63" i="7"/>
  <c r="AI63" i="7"/>
  <c r="AL63" i="7"/>
  <c r="B63" i="7"/>
  <c r="AK62" i="7"/>
  <c r="AH62" i="7"/>
  <c r="AE62" i="7"/>
  <c r="AB62" i="7"/>
  <c r="AB60" i="7"/>
  <c r="Y62" i="7"/>
  <c r="V61" i="7"/>
  <c r="V62" i="7"/>
  <c r="S61" i="7"/>
  <c r="S62" i="7"/>
  <c r="P61" i="7"/>
  <c r="P62" i="7"/>
  <c r="M62" i="7"/>
  <c r="J61" i="7"/>
  <c r="J62" i="7"/>
  <c r="AB61" i="7"/>
  <c r="AE58" i="7"/>
  <c r="Y61" i="7"/>
  <c r="AB58" i="7"/>
  <c r="AB65" i="7"/>
  <c r="G61" i="7"/>
  <c r="J58" i="7"/>
  <c r="B58" i="7"/>
  <c r="B55" i="7"/>
  <c r="B72" i="7"/>
  <c r="B53" i="7"/>
  <c r="B70" i="7"/>
  <c r="B52" i="7"/>
  <c r="B69" i="7"/>
  <c r="AO51" i="7"/>
  <c r="B51" i="7"/>
  <c r="B68" i="7"/>
  <c r="G50" i="7"/>
  <c r="B50" i="7"/>
  <c r="B67" i="7"/>
  <c r="Q46" i="7"/>
  <c r="T46" i="7"/>
  <c r="W46" i="7"/>
  <c r="Z46" i="7"/>
  <c r="AC46" i="7"/>
  <c r="AF46" i="7"/>
  <c r="AI46" i="7"/>
  <c r="AL46" i="7"/>
  <c r="D45" i="7"/>
  <c r="B45" i="7"/>
  <c r="B62" i="7"/>
  <c r="B44" i="7"/>
  <c r="B61" i="7"/>
  <c r="B43" i="7"/>
  <c r="B60" i="7"/>
  <c r="B42" i="7"/>
  <c r="B59" i="7"/>
  <c r="B41" i="7"/>
  <c r="B38" i="7"/>
  <c r="AP37" i="7"/>
  <c r="AL37" i="7"/>
  <c r="AI37" i="7"/>
  <c r="AF37" i="7"/>
  <c r="AC37" i="7"/>
  <c r="Z37" i="7"/>
  <c r="W37" i="7"/>
  <c r="T37" i="7"/>
  <c r="Q37" i="7"/>
  <c r="E37" i="7"/>
  <c r="D34" i="7"/>
  <c r="AO34" i="7"/>
  <c r="B48" i="7"/>
  <c r="B65" i="7"/>
  <c r="AH30" i="7"/>
  <c r="AE30" i="7"/>
  <c r="AB30" i="7"/>
  <c r="Y30" i="7"/>
  <c r="V30" i="7"/>
  <c r="S30" i="7"/>
  <c r="P30" i="7"/>
  <c r="M30" i="7"/>
  <c r="J30" i="7"/>
  <c r="C44" i="21"/>
  <c r="AB59" i="7"/>
  <c r="AE65" i="7"/>
  <c r="AB48" i="7"/>
  <c r="AB49" i="7"/>
  <c r="Y48" i="7"/>
  <c r="Y49" i="7"/>
  <c r="P29" i="7"/>
  <c r="S26" i="7"/>
  <c r="P58" i="7"/>
  <c r="P65" i="7"/>
  <c r="M60" i="7"/>
  <c r="M29" i="7"/>
  <c r="P26" i="7"/>
  <c r="J65" i="7"/>
  <c r="S60" i="7"/>
  <c r="V58" i="7"/>
  <c r="V65" i="7"/>
  <c r="M48" i="7"/>
  <c r="M49" i="7"/>
  <c r="AO41" i="7"/>
  <c r="AH58" i="7"/>
  <c r="AE60" i="7"/>
  <c r="AE59" i="7"/>
  <c r="J29" i="7"/>
  <c r="J60" i="7"/>
  <c r="J59" i="7"/>
  <c r="M58" i="7"/>
  <c r="M65" i="7"/>
  <c r="P60" i="7"/>
  <c r="P59" i="7"/>
  <c r="S58" i="7"/>
  <c r="S65" i="7"/>
  <c r="Y58" i="7"/>
  <c r="V29" i="7"/>
  <c r="J50" i="7"/>
  <c r="Y29" i="7"/>
  <c r="AE48" i="7"/>
  <c r="AE49" i="7"/>
  <c r="AH61" i="7"/>
  <c r="AH29" i="7"/>
  <c r="J67" i="7"/>
  <c r="AB29" i="7"/>
  <c r="AE26" i="7"/>
  <c r="Y65" i="7"/>
  <c r="V60" i="7"/>
  <c r="Y60" i="7"/>
  <c r="D27" i="20"/>
  <c r="AL29" i="16"/>
  <c r="AI29" i="16"/>
  <c r="AF29" i="16"/>
  <c r="AC29" i="16"/>
  <c r="Z29" i="16"/>
  <c r="W29" i="16"/>
  <c r="T29" i="16"/>
  <c r="Q29" i="16"/>
  <c r="N29" i="16"/>
  <c r="K29" i="16"/>
  <c r="H29" i="16"/>
  <c r="E29" i="16"/>
  <c r="AM22" i="12"/>
  <c r="AM21" i="12"/>
  <c r="AM20" i="12"/>
  <c r="AM19" i="12"/>
  <c r="AM18" i="12"/>
  <c r="AM17" i="12"/>
  <c r="AM16" i="12"/>
  <c r="AM15" i="12"/>
  <c r="AM14" i="12"/>
  <c r="AM13" i="12"/>
  <c r="AJ22" i="12"/>
  <c r="AJ21" i="12"/>
  <c r="AJ20" i="12"/>
  <c r="AJ19" i="12"/>
  <c r="AJ18" i="12"/>
  <c r="AJ17" i="12"/>
  <c r="AJ16" i="12"/>
  <c r="AJ15" i="12"/>
  <c r="AJ14" i="12"/>
  <c r="AJ13" i="12"/>
  <c r="AG22" i="12"/>
  <c r="AG21" i="12"/>
  <c r="AG20" i="12"/>
  <c r="AG19" i="12"/>
  <c r="AG18" i="12"/>
  <c r="AG17" i="12"/>
  <c r="AG16" i="12"/>
  <c r="AG15" i="12"/>
  <c r="AG14" i="12"/>
  <c r="AG13" i="12"/>
  <c r="AD22" i="12"/>
  <c r="AD21" i="12"/>
  <c r="AD20" i="12"/>
  <c r="AD19" i="12"/>
  <c r="AD18" i="12"/>
  <c r="AD17" i="12"/>
  <c r="AD16" i="12"/>
  <c r="AD15" i="12"/>
  <c r="AD14" i="12"/>
  <c r="AD13" i="12"/>
  <c r="AA22" i="12"/>
  <c r="AA21" i="12"/>
  <c r="AA20" i="12"/>
  <c r="AA19" i="12"/>
  <c r="AA18" i="12"/>
  <c r="AA17" i="12"/>
  <c r="AA16" i="12"/>
  <c r="AA15" i="12"/>
  <c r="AA14" i="12"/>
  <c r="AA13" i="12"/>
  <c r="X22" i="12"/>
  <c r="X21" i="12"/>
  <c r="X20" i="12"/>
  <c r="X19" i="12"/>
  <c r="X18" i="12"/>
  <c r="X17" i="12"/>
  <c r="X16" i="12"/>
  <c r="X15" i="12"/>
  <c r="X14" i="12"/>
  <c r="X13" i="12"/>
  <c r="U22" i="12"/>
  <c r="U21" i="12"/>
  <c r="U20" i="12"/>
  <c r="U19" i="12"/>
  <c r="U18" i="12"/>
  <c r="U17" i="12"/>
  <c r="U16" i="12"/>
  <c r="U15" i="12"/>
  <c r="U14" i="12"/>
  <c r="U13" i="12"/>
  <c r="R22" i="12"/>
  <c r="R21" i="12"/>
  <c r="R20" i="12"/>
  <c r="R19" i="12"/>
  <c r="R18" i="12"/>
  <c r="R17" i="12"/>
  <c r="R16" i="12"/>
  <c r="R15" i="12"/>
  <c r="R14" i="12"/>
  <c r="R13" i="12"/>
  <c r="O22" i="12"/>
  <c r="O21" i="12"/>
  <c r="O20" i="12"/>
  <c r="O19" i="12"/>
  <c r="O18" i="12"/>
  <c r="O17" i="12"/>
  <c r="O16" i="12"/>
  <c r="O15" i="12"/>
  <c r="O14" i="12"/>
  <c r="O13" i="12"/>
  <c r="L22" i="12"/>
  <c r="L21" i="12"/>
  <c r="L20" i="12"/>
  <c r="L19" i="12"/>
  <c r="L18" i="12"/>
  <c r="L17" i="12"/>
  <c r="L16" i="12"/>
  <c r="L15" i="12"/>
  <c r="L14" i="12"/>
  <c r="L13" i="12"/>
  <c r="I22" i="12"/>
  <c r="I21" i="12"/>
  <c r="I20" i="12"/>
  <c r="I19" i="12"/>
  <c r="I18" i="12"/>
  <c r="I17" i="12"/>
  <c r="I16" i="12"/>
  <c r="I15" i="12"/>
  <c r="I14" i="12"/>
  <c r="I13" i="12"/>
  <c r="F14" i="12"/>
  <c r="F15" i="12"/>
  <c r="F16" i="12"/>
  <c r="F17" i="12"/>
  <c r="F18" i="12"/>
  <c r="F19" i="12"/>
  <c r="F20" i="12"/>
  <c r="F21" i="12"/>
  <c r="F22" i="12"/>
  <c r="F13" i="12"/>
  <c r="V59" i="7"/>
  <c r="AK48" i="7"/>
  <c r="AK49" i="7"/>
  <c r="S29" i="7"/>
  <c r="S31" i="7"/>
  <c r="S32" i="7"/>
  <c r="S48" i="7"/>
  <c r="S49" i="7"/>
  <c r="P48" i="7"/>
  <c r="P49" i="7"/>
  <c r="P31" i="7"/>
  <c r="P32" i="7"/>
  <c r="M50" i="7"/>
  <c r="AH48" i="7"/>
  <c r="AH49" i="7"/>
  <c r="AE29" i="7"/>
  <c r="M28" i="7"/>
  <c r="Y59" i="7"/>
  <c r="AB28" i="7"/>
  <c r="AO44" i="7"/>
  <c r="AH65" i="7"/>
  <c r="S59" i="7"/>
  <c r="AK58" i="7"/>
  <c r="AH60" i="7"/>
  <c r="AH59" i="7"/>
  <c r="V48" i="7"/>
  <c r="V49" i="7"/>
  <c r="J28" i="7"/>
  <c r="M26" i="7"/>
  <c r="M31" i="7"/>
  <c r="M32" i="7"/>
  <c r="Y28" i="7"/>
  <c r="AB26" i="7"/>
  <c r="AB31" i="7"/>
  <c r="AB32" i="7"/>
  <c r="AH28" i="7"/>
  <c r="AK26" i="7"/>
  <c r="J69" i="7"/>
  <c r="M68" i="7"/>
  <c r="M67" i="7"/>
  <c r="V26" i="7"/>
  <c r="V31" i="7"/>
  <c r="V32" i="7"/>
  <c r="S28" i="7"/>
  <c r="S27" i="7"/>
  <c r="V28" i="7"/>
  <c r="Y26" i="7"/>
  <c r="Y31" i="7"/>
  <c r="Y32" i="7"/>
  <c r="P28" i="7"/>
  <c r="P27" i="7"/>
  <c r="M59" i="7"/>
  <c r="G29" i="7"/>
  <c r="AL24" i="8"/>
  <c r="AI24" i="8"/>
  <c r="AF24" i="8"/>
  <c r="AC24" i="8"/>
  <c r="Z24" i="8"/>
  <c r="W24" i="8"/>
  <c r="T24" i="8"/>
  <c r="Q24" i="8"/>
  <c r="N24" i="8"/>
  <c r="K24" i="8"/>
  <c r="H24" i="8"/>
  <c r="E24" i="8"/>
  <c r="AL18" i="8"/>
  <c r="AI18" i="8"/>
  <c r="AF18" i="8"/>
  <c r="AC18" i="8"/>
  <c r="Z18" i="8"/>
  <c r="W18" i="8"/>
  <c r="T18" i="8"/>
  <c r="Q18" i="8"/>
  <c r="N18" i="8"/>
  <c r="K18" i="8"/>
  <c r="H18" i="8"/>
  <c r="E18" i="8"/>
  <c r="V42" i="5"/>
  <c r="V50" i="5"/>
  <c r="V26" i="5"/>
  <c r="V18" i="5"/>
  <c r="L423" i="23"/>
  <c r="L380" i="23"/>
  <c r="L337" i="23"/>
  <c r="L294" i="23"/>
  <c r="L165" i="23"/>
  <c r="L122" i="23"/>
  <c r="L79" i="23"/>
  <c r="L36" i="23"/>
  <c r="L408" i="23"/>
  <c r="L365" i="23"/>
  <c r="L322" i="23"/>
  <c r="L279" i="23"/>
  <c r="N279" i="23"/>
  <c r="L107" i="23"/>
  <c r="N107" i="23"/>
  <c r="L64" i="23"/>
  <c r="L21" i="23"/>
  <c r="M41" i="23"/>
  <c r="M471" i="23"/>
  <c r="M428" i="23"/>
  <c r="M385" i="23"/>
  <c r="M342" i="23"/>
  <c r="M299" i="23"/>
  <c r="N294" i="23"/>
  <c r="M256" i="23"/>
  <c r="M213" i="23"/>
  <c r="M170" i="23"/>
  <c r="M127" i="23"/>
  <c r="M84" i="23"/>
  <c r="J550" i="23"/>
  <c r="J543" i="23"/>
  <c r="J540" i="23"/>
  <c r="J535" i="23"/>
  <c r="J528" i="23"/>
  <c r="J525" i="23"/>
  <c r="J421" i="23"/>
  <c r="J414" i="23"/>
  <c r="J411" i="23"/>
  <c r="J406" i="23"/>
  <c r="J399" i="23"/>
  <c r="J396" i="23"/>
  <c r="N423" i="23"/>
  <c r="C317" i="23"/>
  <c r="C360" i="23"/>
  <c r="C403" i="23"/>
  <c r="C446" i="23"/>
  <c r="C489" i="23"/>
  <c r="C532" i="23"/>
  <c r="J292" i="23"/>
  <c r="J285" i="23"/>
  <c r="J282" i="23"/>
  <c r="J277" i="23"/>
  <c r="J270" i="23"/>
  <c r="J267" i="23"/>
  <c r="E254" i="23"/>
  <c r="E297" i="23"/>
  <c r="E340" i="23"/>
  <c r="E383" i="23"/>
  <c r="E426" i="23"/>
  <c r="E469" i="23"/>
  <c r="E512" i="23"/>
  <c r="E555" i="23"/>
  <c r="F211" i="23"/>
  <c r="F254" i="23"/>
  <c r="F297" i="23"/>
  <c r="F340" i="23"/>
  <c r="F383" i="23"/>
  <c r="F426" i="23"/>
  <c r="F469" i="23"/>
  <c r="F512" i="23"/>
  <c r="F555" i="23"/>
  <c r="D200" i="23"/>
  <c r="D243" i="23"/>
  <c r="D286" i="23"/>
  <c r="D329" i="23"/>
  <c r="D372" i="23"/>
  <c r="D415" i="23"/>
  <c r="D458" i="23"/>
  <c r="D501" i="23"/>
  <c r="D544" i="23"/>
  <c r="C198" i="23"/>
  <c r="C241" i="23"/>
  <c r="C284" i="23"/>
  <c r="C327" i="23"/>
  <c r="C370" i="23"/>
  <c r="C413" i="23"/>
  <c r="C456" i="23"/>
  <c r="C499" i="23"/>
  <c r="C542" i="23"/>
  <c r="B198" i="23"/>
  <c r="B241" i="23"/>
  <c r="B284" i="23"/>
  <c r="B327" i="23"/>
  <c r="B370" i="23"/>
  <c r="B413" i="23"/>
  <c r="B456" i="23"/>
  <c r="B499" i="23"/>
  <c r="B542" i="23"/>
  <c r="F181" i="23"/>
  <c r="J163" i="23"/>
  <c r="D163" i="23"/>
  <c r="D206" i="23"/>
  <c r="D249" i="23"/>
  <c r="D292" i="23"/>
  <c r="D335" i="23"/>
  <c r="D378" i="23"/>
  <c r="D421" i="23"/>
  <c r="D464" i="23"/>
  <c r="D507" i="23"/>
  <c r="D550" i="23"/>
  <c r="D162" i="23"/>
  <c r="D205" i="23"/>
  <c r="D248" i="23"/>
  <c r="D291" i="23"/>
  <c r="D334" i="23"/>
  <c r="D377" i="23"/>
  <c r="D420" i="23"/>
  <c r="D463" i="23"/>
  <c r="D506" i="23"/>
  <c r="D549" i="23"/>
  <c r="C162" i="23"/>
  <c r="C205" i="23"/>
  <c r="C248" i="23"/>
  <c r="C291" i="23"/>
  <c r="C334" i="23"/>
  <c r="C377" i="23"/>
  <c r="C420" i="23"/>
  <c r="C463" i="23"/>
  <c r="C506" i="23"/>
  <c r="C549" i="23"/>
  <c r="D160" i="23"/>
  <c r="D203" i="23"/>
  <c r="D246" i="23"/>
  <c r="D289" i="23"/>
  <c r="D332" i="23"/>
  <c r="D375" i="23"/>
  <c r="D418" i="23"/>
  <c r="D461" i="23"/>
  <c r="D504" i="23"/>
  <c r="D547" i="23"/>
  <c r="C160" i="23"/>
  <c r="C203" i="23"/>
  <c r="C246" i="23"/>
  <c r="C289" i="23"/>
  <c r="C332" i="23"/>
  <c r="C375" i="23"/>
  <c r="C418" i="23"/>
  <c r="C461" i="23"/>
  <c r="C504" i="23"/>
  <c r="C547" i="23"/>
  <c r="C159" i="23"/>
  <c r="C202" i="23"/>
  <c r="C245" i="23"/>
  <c r="C288" i="23"/>
  <c r="C331" i="23"/>
  <c r="C374" i="23"/>
  <c r="C417" i="23"/>
  <c r="C460" i="23"/>
  <c r="C503" i="23"/>
  <c r="C546" i="23"/>
  <c r="C157" i="23"/>
  <c r="C200" i="23"/>
  <c r="C243" i="23"/>
  <c r="C286" i="23"/>
  <c r="C329" i="23"/>
  <c r="C372" i="23"/>
  <c r="C415" i="23"/>
  <c r="C458" i="23"/>
  <c r="C501" i="23"/>
  <c r="C544" i="23"/>
  <c r="B157" i="23"/>
  <c r="B200" i="23"/>
  <c r="B243" i="23"/>
  <c r="B286" i="23"/>
  <c r="B329" i="23"/>
  <c r="B372" i="23"/>
  <c r="B415" i="23"/>
  <c r="B458" i="23"/>
  <c r="B501" i="23"/>
  <c r="B544" i="23"/>
  <c r="J156" i="23"/>
  <c r="D155" i="23"/>
  <c r="D198" i="23"/>
  <c r="D241" i="23"/>
  <c r="D284" i="23"/>
  <c r="D327" i="23"/>
  <c r="D370" i="23"/>
  <c r="D413" i="23"/>
  <c r="D456" i="23"/>
  <c r="D499" i="23"/>
  <c r="D542" i="23"/>
  <c r="J153" i="23"/>
  <c r="J148" i="23"/>
  <c r="D148" i="23"/>
  <c r="D191" i="23"/>
  <c r="D234" i="23"/>
  <c r="D277" i="23"/>
  <c r="D320" i="23"/>
  <c r="D363" i="23"/>
  <c r="D406" i="23"/>
  <c r="D449" i="23"/>
  <c r="D492" i="23"/>
  <c r="D535" i="23"/>
  <c r="C148" i="23"/>
  <c r="C191" i="23"/>
  <c r="C234" i="23"/>
  <c r="C277" i="23"/>
  <c r="C320" i="23"/>
  <c r="C363" i="23"/>
  <c r="C406" i="23"/>
  <c r="C449" i="23"/>
  <c r="C492" i="23"/>
  <c r="C535" i="23"/>
  <c r="B148" i="23"/>
  <c r="B191" i="23"/>
  <c r="B234" i="23"/>
  <c r="B277" i="23"/>
  <c r="B320" i="23"/>
  <c r="B363" i="23"/>
  <c r="B406" i="23"/>
  <c r="B449" i="23"/>
  <c r="B492" i="23"/>
  <c r="B535" i="23"/>
  <c r="I147" i="23"/>
  <c r="I148" i="23"/>
  <c r="E147" i="23"/>
  <c r="E190" i="23"/>
  <c r="B145" i="23"/>
  <c r="B188" i="23"/>
  <c r="B231" i="23"/>
  <c r="B274" i="23"/>
  <c r="B317" i="23"/>
  <c r="B360" i="23"/>
  <c r="B403" i="23"/>
  <c r="B446" i="23"/>
  <c r="B489" i="23"/>
  <c r="B532" i="23"/>
  <c r="F144" i="23"/>
  <c r="F187" i="23"/>
  <c r="C143" i="23"/>
  <c r="C186" i="23"/>
  <c r="C229" i="23"/>
  <c r="C272" i="23"/>
  <c r="C315" i="23"/>
  <c r="C358" i="23"/>
  <c r="C401" i="23"/>
  <c r="C444" i="23"/>
  <c r="C487" i="23"/>
  <c r="C530" i="23"/>
  <c r="B143" i="23"/>
  <c r="B186" i="23"/>
  <c r="B229" i="23"/>
  <c r="B272" i="23"/>
  <c r="B315" i="23"/>
  <c r="B358" i="23"/>
  <c r="B401" i="23"/>
  <c r="B444" i="23"/>
  <c r="B487" i="23"/>
  <c r="B530" i="23"/>
  <c r="J141" i="23"/>
  <c r="B141" i="23"/>
  <c r="B184" i="23"/>
  <c r="B227" i="23"/>
  <c r="B270" i="23"/>
  <c r="B313" i="23"/>
  <c r="B356" i="23"/>
  <c r="B399" i="23"/>
  <c r="B442" i="23"/>
  <c r="B485" i="23"/>
  <c r="B528" i="23"/>
  <c r="I140" i="23"/>
  <c r="I141" i="23"/>
  <c r="B140" i="23"/>
  <c r="B183" i="23"/>
  <c r="B226" i="23"/>
  <c r="B269" i="23"/>
  <c r="B312" i="23"/>
  <c r="B355" i="23"/>
  <c r="B398" i="23"/>
  <c r="B441" i="23"/>
  <c r="B484" i="23"/>
  <c r="B527" i="23"/>
  <c r="J138" i="23"/>
  <c r="I138" i="23"/>
  <c r="B121" i="23"/>
  <c r="B164" i="23"/>
  <c r="B207" i="23"/>
  <c r="B250" i="23"/>
  <c r="B293" i="23"/>
  <c r="B336" i="23"/>
  <c r="B379" i="23"/>
  <c r="B422" i="23"/>
  <c r="B465" i="23"/>
  <c r="B508" i="23"/>
  <c r="B551" i="23"/>
  <c r="D120" i="23"/>
  <c r="D119" i="23"/>
  <c r="C119" i="23"/>
  <c r="B119" i="23"/>
  <c r="B162" i="23"/>
  <c r="B205" i="23"/>
  <c r="B248" i="23"/>
  <c r="B291" i="23"/>
  <c r="B334" i="23"/>
  <c r="B377" i="23"/>
  <c r="B420" i="23"/>
  <c r="B463" i="23"/>
  <c r="B506" i="23"/>
  <c r="B549" i="23"/>
  <c r="H118" i="23"/>
  <c r="G118" i="23"/>
  <c r="F118" i="23"/>
  <c r="F161" i="23"/>
  <c r="F204" i="23"/>
  <c r="E118" i="23"/>
  <c r="E161" i="23"/>
  <c r="E204" i="23"/>
  <c r="D118" i="23"/>
  <c r="D161" i="23"/>
  <c r="D204" i="23"/>
  <c r="D247" i="23"/>
  <c r="D290" i="23"/>
  <c r="D333" i="23"/>
  <c r="D376" i="23"/>
  <c r="D419" i="23"/>
  <c r="D462" i="23"/>
  <c r="D505" i="23"/>
  <c r="D548" i="23"/>
  <c r="D117" i="23"/>
  <c r="C117" i="23"/>
  <c r="H115" i="23"/>
  <c r="F115" i="23"/>
  <c r="F158" i="23"/>
  <c r="E115" i="23"/>
  <c r="E158" i="23"/>
  <c r="C114" i="23"/>
  <c r="B114" i="23"/>
  <c r="D112" i="23"/>
  <c r="C112" i="23"/>
  <c r="C155" i="23"/>
  <c r="B112" i="23"/>
  <c r="B155" i="23"/>
  <c r="D110" i="23"/>
  <c r="D153" i="23"/>
  <c r="D196" i="23"/>
  <c r="D239" i="23"/>
  <c r="D282" i="23"/>
  <c r="D325" i="23"/>
  <c r="D368" i="23"/>
  <c r="D411" i="23"/>
  <c r="D454" i="23"/>
  <c r="D497" i="23"/>
  <c r="D540" i="23"/>
  <c r="C110" i="23"/>
  <c r="C153" i="23"/>
  <c r="C196" i="23"/>
  <c r="C239" i="23"/>
  <c r="C282" i="23"/>
  <c r="C325" i="23"/>
  <c r="C368" i="23"/>
  <c r="C411" i="23"/>
  <c r="C454" i="23"/>
  <c r="C497" i="23"/>
  <c r="C540" i="23"/>
  <c r="B110" i="23"/>
  <c r="B153" i="23"/>
  <c r="B196" i="23"/>
  <c r="B239" i="23"/>
  <c r="B282" i="23"/>
  <c r="B325" i="23"/>
  <c r="B368" i="23"/>
  <c r="B411" i="23"/>
  <c r="B454" i="23"/>
  <c r="B497" i="23"/>
  <c r="B540" i="23"/>
  <c r="D107" i="23"/>
  <c r="D150" i="23"/>
  <c r="D193" i="23"/>
  <c r="D236" i="23"/>
  <c r="D279" i="23"/>
  <c r="D322" i="23"/>
  <c r="D365" i="23"/>
  <c r="D408" i="23"/>
  <c r="D451" i="23"/>
  <c r="D494" i="23"/>
  <c r="D537" i="23"/>
  <c r="F106" i="23"/>
  <c r="C106" i="23"/>
  <c r="E105" i="23"/>
  <c r="D105" i="23"/>
  <c r="C105" i="23"/>
  <c r="B105" i="23"/>
  <c r="E104" i="23"/>
  <c r="G103" i="23"/>
  <c r="F103" i="23"/>
  <c r="H103" i="23"/>
  <c r="E103" i="23"/>
  <c r="E146" i="23"/>
  <c r="D103" i="23"/>
  <c r="D146" i="23"/>
  <c r="D189" i="23"/>
  <c r="D232" i="23"/>
  <c r="D275" i="23"/>
  <c r="D318" i="23"/>
  <c r="D361" i="23"/>
  <c r="D404" i="23"/>
  <c r="D447" i="23"/>
  <c r="D490" i="23"/>
  <c r="D533" i="23"/>
  <c r="B102" i="23"/>
  <c r="F101" i="23"/>
  <c r="H101" i="23"/>
  <c r="E101" i="23"/>
  <c r="E144" i="23"/>
  <c r="B101" i="23"/>
  <c r="B144" i="23"/>
  <c r="B187" i="23"/>
  <c r="B230" i="23"/>
  <c r="B273" i="23"/>
  <c r="B316" i="23"/>
  <c r="B359" i="23"/>
  <c r="B402" i="23"/>
  <c r="B445" i="23"/>
  <c r="B488" i="23"/>
  <c r="B531" i="23"/>
  <c r="D100" i="23"/>
  <c r="D143" i="23"/>
  <c r="D186" i="23"/>
  <c r="D229" i="23"/>
  <c r="D272" i="23"/>
  <c r="D315" i="23"/>
  <c r="D358" i="23"/>
  <c r="D401" i="23"/>
  <c r="D444" i="23"/>
  <c r="D487" i="23"/>
  <c r="D530" i="23"/>
  <c r="C100" i="23"/>
  <c r="B100" i="23"/>
  <c r="F98" i="23"/>
  <c r="H98" i="23"/>
  <c r="E98" i="23"/>
  <c r="D98" i="23"/>
  <c r="D141" i="23"/>
  <c r="D184" i="23"/>
  <c r="D227" i="23"/>
  <c r="D270" i="23"/>
  <c r="D313" i="23"/>
  <c r="D356" i="23"/>
  <c r="D399" i="23"/>
  <c r="D442" i="23"/>
  <c r="D485" i="23"/>
  <c r="D528" i="23"/>
  <c r="C98" i="23"/>
  <c r="C141" i="23"/>
  <c r="C184" i="23"/>
  <c r="C227" i="23"/>
  <c r="C270" i="23"/>
  <c r="C313" i="23"/>
  <c r="C356" i="23"/>
  <c r="C399" i="23"/>
  <c r="C442" i="23"/>
  <c r="C485" i="23"/>
  <c r="C528" i="23"/>
  <c r="B98" i="23"/>
  <c r="F96" i="23"/>
  <c r="H96" i="23"/>
  <c r="E96" i="23"/>
  <c r="E139" i="23"/>
  <c r="D96" i="23"/>
  <c r="D139" i="23"/>
  <c r="D182" i="23"/>
  <c r="D225" i="23"/>
  <c r="D268" i="23"/>
  <c r="D311" i="23"/>
  <c r="D354" i="23"/>
  <c r="D397" i="23"/>
  <c r="D440" i="23"/>
  <c r="D483" i="23"/>
  <c r="D526" i="23"/>
  <c r="C96" i="23"/>
  <c r="C139" i="23"/>
  <c r="C182" i="23"/>
  <c r="C225" i="23"/>
  <c r="C268" i="23"/>
  <c r="C311" i="23"/>
  <c r="C354" i="23"/>
  <c r="C397" i="23"/>
  <c r="C440" i="23"/>
  <c r="C483" i="23"/>
  <c r="C526" i="23"/>
  <c r="C95" i="23"/>
  <c r="C138" i="23"/>
  <c r="C181" i="23"/>
  <c r="C224" i="23"/>
  <c r="C267" i="23"/>
  <c r="C310" i="23"/>
  <c r="C353" i="23"/>
  <c r="C396" i="23"/>
  <c r="C439" i="23"/>
  <c r="C482" i="23"/>
  <c r="C525" i="23"/>
  <c r="B95" i="23"/>
  <c r="B138" i="23"/>
  <c r="B181" i="23"/>
  <c r="B224" i="23"/>
  <c r="B267" i="23"/>
  <c r="B310" i="23"/>
  <c r="B353" i="23"/>
  <c r="B396" i="23"/>
  <c r="B439" i="23"/>
  <c r="B482" i="23"/>
  <c r="B525" i="23"/>
  <c r="D94" i="23"/>
  <c r="D137" i="23"/>
  <c r="D180" i="23"/>
  <c r="D223" i="23"/>
  <c r="D266" i="23"/>
  <c r="D309" i="23"/>
  <c r="D352" i="23"/>
  <c r="D395" i="23"/>
  <c r="D438" i="23"/>
  <c r="D481" i="23"/>
  <c r="D524" i="23"/>
  <c r="H90" i="23"/>
  <c r="H133" i="23"/>
  <c r="H176" i="23"/>
  <c r="H219" i="23"/>
  <c r="H262" i="23"/>
  <c r="H305" i="23"/>
  <c r="H348" i="23"/>
  <c r="H391" i="23"/>
  <c r="H434" i="23"/>
  <c r="H477" i="23"/>
  <c r="H520" i="23"/>
  <c r="D84" i="23"/>
  <c r="D127" i="23"/>
  <c r="D170" i="23"/>
  <c r="D213" i="23"/>
  <c r="D256" i="23"/>
  <c r="D299" i="23"/>
  <c r="D342" i="23"/>
  <c r="D385" i="23"/>
  <c r="D428" i="23"/>
  <c r="D471" i="23"/>
  <c r="D514" i="23"/>
  <c r="D557" i="23"/>
  <c r="D83" i="23"/>
  <c r="D126" i="23"/>
  <c r="D169" i="23"/>
  <c r="D212" i="23"/>
  <c r="D255" i="23"/>
  <c r="D298" i="23"/>
  <c r="D341" i="23"/>
  <c r="D384" i="23"/>
  <c r="D427" i="23"/>
  <c r="D470" i="23"/>
  <c r="D513" i="23"/>
  <c r="D556" i="23"/>
  <c r="H82" i="23"/>
  <c r="H125" i="23"/>
  <c r="H168" i="23"/>
  <c r="H211" i="23"/>
  <c r="H254" i="23"/>
  <c r="H297" i="23"/>
  <c r="H340" i="23"/>
  <c r="H383" i="23"/>
  <c r="H426" i="23"/>
  <c r="H469" i="23"/>
  <c r="H512" i="23"/>
  <c r="H555" i="23"/>
  <c r="G82" i="23"/>
  <c r="G125" i="23"/>
  <c r="G168" i="23"/>
  <c r="G211" i="23"/>
  <c r="G254" i="23"/>
  <c r="G297" i="23"/>
  <c r="G340" i="23"/>
  <c r="G383" i="23"/>
  <c r="G426" i="23"/>
  <c r="G469" i="23"/>
  <c r="G512" i="23"/>
  <c r="G555" i="23"/>
  <c r="F82" i="23"/>
  <c r="F125" i="23"/>
  <c r="F168" i="23"/>
  <c r="E82" i="23"/>
  <c r="E125" i="23"/>
  <c r="E168" i="23"/>
  <c r="E211" i="23"/>
  <c r="N79" i="23"/>
  <c r="D79" i="23"/>
  <c r="D122" i="23"/>
  <c r="D165" i="23"/>
  <c r="D208" i="23"/>
  <c r="D251" i="23"/>
  <c r="D294" i="23"/>
  <c r="D337" i="23"/>
  <c r="D380" i="23"/>
  <c r="D423" i="23"/>
  <c r="D466" i="23"/>
  <c r="D509" i="23"/>
  <c r="D552" i="23"/>
  <c r="F78" i="23"/>
  <c r="F121" i="23"/>
  <c r="F164" i="23"/>
  <c r="F207" i="23"/>
  <c r="D78" i="23"/>
  <c r="D121" i="23"/>
  <c r="D164" i="23"/>
  <c r="D207" i="23"/>
  <c r="D250" i="23"/>
  <c r="D293" i="23"/>
  <c r="D336" i="23"/>
  <c r="D379" i="23"/>
  <c r="D422" i="23"/>
  <c r="D465" i="23"/>
  <c r="D508" i="23"/>
  <c r="D551" i="23"/>
  <c r="C78" i="23"/>
  <c r="B78" i="23"/>
  <c r="D77" i="23"/>
  <c r="C77" i="23"/>
  <c r="C120" i="23"/>
  <c r="C163" i="23"/>
  <c r="C206" i="23"/>
  <c r="C249" i="23"/>
  <c r="C292" i="23"/>
  <c r="C335" i="23"/>
  <c r="C378" i="23"/>
  <c r="C421" i="23"/>
  <c r="C464" i="23"/>
  <c r="C507" i="23"/>
  <c r="C550" i="23"/>
  <c r="B77" i="23"/>
  <c r="B120" i="23"/>
  <c r="B163" i="23"/>
  <c r="B206" i="23"/>
  <c r="B249" i="23"/>
  <c r="B292" i="23"/>
  <c r="B335" i="23"/>
  <c r="B378" i="23"/>
  <c r="B421" i="23"/>
  <c r="B464" i="23"/>
  <c r="B507" i="23"/>
  <c r="B550" i="23"/>
  <c r="F76" i="23"/>
  <c r="F119" i="23"/>
  <c r="H119" i="23"/>
  <c r="E76" i="23"/>
  <c r="E119" i="23"/>
  <c r="D76" i="23"/>
  <c r="C76" i="23"/>
  <c r="B76" i="23"/>
  <c r="G75" i="23"/>
  <c r="F75" i="23"/>
  <c r="H75" i="23"/>
  <c r="E75" i="23"/>
  <c r="D75" i="23"/>
  <c r="C75" i="23"/>
  <c r="C118" i="23"/>
  <c r="C161" i="23"/>
  <c r="C204" i="23"/>
  <c r="C247" i="23"/>
  <c r="C290" i="23"/>
  <c r="C333" i="23"/>
  <c r="C376" i="23"/>
  <c r="C419" i="23"/>
  <c r="C462" i="23"/>
  <c r="C505" i="23"/>
  <c r="C548" i="23"/>
  <c r="B75" i="23"/>
  <c r="B118" i="23"/>
  <c r="B161" i="23"/>
  <c r="B204" i="23"/>
  <c r="B247" i="23"/>
  <c r="B290" i="23"/>
  <c r="B333" i="23"/>
  <c r="B376" i="23"/>
  <c r="B419" i="23"/>
  <c r="B462" i="23"/>
  <c r="B505" i="23"/>
  <c r="B548" i="23"/>
  <c r="D74" i="23"/>
  <c r="C74" i="23"/>
  <c r="B74" i="23"/>
  <c r="B117" i="23"/>
  <c r="B160" i="23"/>
  <c r="B203" i="23"/>
  <c r="B246" i="23"/>
  <c r="B289" i="23"/>
  <c r="B332" i="23"/>
  <c r="B375" i="23"/>
  <c r="B418" i="23"/>
  <c r="B461" i="23"/>
  <c r="B504" i="23"/>
  <c r="B547" i="23"/>
  <c r="D73" i="23"/>
  <c r="D116" i="23"/>
  <c r="D159" i="23"/>
  <c r="D202" i="23"/>
  <c r="D245" i="23"/>
  <c r="D288" i="23"/>
  <c r="D331" i="23"/>
  <c r="D374" i="23"/>
  <c r="D417" i="23"/>
  <c r="D460" i="23"/>
  <c r="D503" i="23"/>
  <c r="D546" i="23"/>
  <c r="C73" i="23"/>
  <c r="C116" i="23"/>
  <c r="B73" i="23"/>
  <c r="B116" i="23"/>
  <c r="B159" i="23"/>
  <c r="B202" i="23"/>
  <c r="B245" i="23"/>
  <c r="B288" i="23"/>
  <c r="B331" i="23"/>
  <c r="B374" i="23"/>
  <c r="B417" i="23"/>
  <c r="B460" i="23"/>
  <c r="B503" i="23"/>
  <c r="B546" i="23"/>
  <c r="D72" i="23"/>
  <c r="D115" i="23"/>
  <c r="D158" i="23"/>
  <c r="D201" i="23"/>
  <c r="D244" i="23"/>
  <c r="D287" i="23"/>
  <c r="D330" i="23"/>
  <c r="D373" i="23"/>
  <c r="D416" i="23"/>
  <c r="D459" i="23"/>
  <c r="D502" i="23"/>
  <c r="D545" i="23"/>
  <c r="C72" i="23"/>
  <c r="C115" i="23"/>
  <c r="C158" i="23"/>
  <c r="C201" i="23"/>
  <c r="C244" i="23"/>
  <c r="C287" i="23"/>
  <c r="C330" i="23"/>
  <c r="C373" i="23"/>
  <c r="C416" i="23"/>
  <c r="C459" i="23"/>
  <c r="C502" i="23"/>
  <c r="C545" i="23"/>
  <c r="B72" i="23"/>
  <c r="B115" i="23"/>
  <c r="B158" i="23"/>
  <c r="B201" i="23"/>
  <c r="B244" i="23"/>
  <c r="B287" i="23"/>
  <c r="B330" i="23"/>
  <c r="B373" i="23"/>
  <c r="B416" i="23"/>
  <c r="B459" i="23"/>
  <c r="B502" i="23"/>
  <c r="B545" i="23"/>
  <c r="F71" i="23"/>
  <c r="F114" i="23"/>
  <c r="F157" i="23"/>
  <c r="D71" i="23"/>
  <c r="D114" i="23"/>
  <c r="D157" i="23"/>
  <c r="C71" i="23"/>
  <c r="B71" i="23"/>
  <c r="E70" i="23"/>
  <c r="E113" i="23"/>
  <c r="D70" i="23"/>
  <c r="D113" i="23"/>
  <c r="D156" i="23"/>
  <c r="D199" i="23"/>
  <c r="D242" i="23"/>
  <c r="D285" i="23"/>
  <c r="D328" i="23"/>
  <c r="D371" i="23"/>
  <c r="D414" i="23"/>
  <c r="D457" i="23"/>
  <c r="D500" i="23"/>
  <c r="D543" i="23"/>
  <c r="C70" i="23"/>
  <c r="C113" i="23"/>
  <c r="C156" i="23"/>
  <c r="C199" i="23"/>
  <c r="C242" i="23"/>
  <c r="C285" i="23"/>
  <c r="C328" i="23"/>
  <c r="C371" i="23"/>
  <c r="C414" i="23"/>
  <c r="C457" i="23"/>
  <c r="C500" i="23"/>
  <c r="C543" i="23"/>
  <c r="B70" i="23"/>
  <c r="B113" i="23"/>
  <c r="B156" i="23"/>
  <c r="B199" i="23"/>
  <c r="B242" i="23"/>
  <c r="B285" i="23"/>
  <c r="B328" i="23"/>
  <c r="B371" i="23"/>
  <c r="B414" i="23"/>
  <c r="B457" i="23"/>
  <c r="B500" i="23"/>
  <c r="B543" i="23"/>
  <c r="F69" i="23"/>
  <c r="F112" i="23"/>
  <c r="D69" i="23"/>
  <c r="C69" i="23"/>
  <c r="B69" i="23"/>
  <c r="D68" i="23"/>
  <c r="D111" i="23"/>
  <c r="D154" i="23"/>
  <c r="D197" i="23"/>
  <c r="D240" i="23"/>
  <c r="D283" i="23"/>
  <c r="D326" i="23"/>
  <c r="D369" i="23"/>
  <c r="D412" i="23"/>
  <c r="D455" i="23"/>
  <c r="D498" i="23"/>
  <c r="D541" i="23"/>
  <c r="C68" i="23"/>
  <c r="C111" i="23"/>
  <c r="C154" i="23"/>
  <c r="C197" i="23"/>
  <c r="C240" i="23"/>
  <c r="C283" i="23"/>
  <c r="C326" i="23"/>
  <c r="C369" i="23"/>
  <c r="C412" i="23"/>
  <c r="C455" i="23"/>
  <c r="C498" i="23"/>
  <c r="C541" i="23"/>
  <c r="B68" i="23"/>
  <c r="B111" i="23"/>
  <c r="B154" i="23"/>
  <c r="B197" i="23"/>
  <c r="B240" i="23"/>
  <c r="B283" i="23"/>
  <c r="B326" i="23"/>
  <c r="B369" i="23"/>
  <c r="B412" i="23"/>
  <c r="B455" i="23"/>
  <c r="B498" i="23"/>
  <c r="B541" i="23"/>
  <c r="D67" i="23"/>
  <c r="C67" i="23"/>
  <c r="B67" i="23"/>
  <c r="D66" i="23"/>
  <c r="D109" i="23"/>
  <c r="D152" i="23"/>
  <c r="D195" i="23"/>
  <c r="D238" i="23"/>
  <c r="D281" i="23"/>
  <c r="D324" i="23"/>
  <c r="D367" i="23"/>
  <c r="D410" i="23"/>
  <c r="D453" i="23"/>
  <c r="D496" i="23"/>
  <c r="D539" i="23"/>
  <c r="D64" i="23"/>
  <c r="F63" i="23"/>
  <c r="E63" i="23"/>
  <c r="D63" i="23"/>
  <c r="D106" i="23"/>
  <c r="D149" i="23"/>
  <c r="D192" i="23"/>
  <c r="D235" i="23"/>
  <c r="D278" i="23"/>
  <c r="D321" i="23"/>
  <c r="D364" i="23"/>
  <c r="D407" i="23"/>
  <c r="D450" i="23"/>
  <c r="D493" i="23"/>
  <c r="D536" i="23"/>
  <c r="C63" i="23"/>
  <c r="B63" i="23"/>
  <c r="B106" i="23"/>
  <c r="B149" i="23"/>
  <c r="B192" i="23"/>
  <c r="B235" i="23"/>
  <c r="B278" i="23"/>
  <c r="B321" i="23"/>
  <c r="B364" i="23"/>
  <c r="B407" i="23"/>
  <c r="B450" i="23"/>
  <c r="B493" i="23"/>
  <c r="B536" i="23"/>
  <c r="F62" i="23"/>
  <c r="G62" i="23"/>
  <c r="E62" i="23"/>
  <c r="D62" i="23"/>
  <c r="C62" i="23"/>
  <c r="B62" i="23"/>
  <c r="G61" i="23"/>
  <c r="F61" i="23"/>
  <c r="E61" i="23"/>
  <c r="D61" i="23"/>
  <c r="D104" i="23"/>
  <c r="D147" i="23"/>
  <c r="D190" i="23"/>
  <c r="D233" i="23"/>
  <c r="D276" i="23"/>
  <c r="D319" i="23"/>
  <c r="D362" i="23"/>
  <c r="D405" i="23"/>
  <c r="D448" i="23"/>
  <c r="D491" i="23"/>
  <c r="D534" i="23"/>
  <c r="C61" i="23"/>
  <c r="C104" i="23"/>
  <c r="C147" i="23"/>
  <c r="C190" i="23"/>
  <c r="C233" i="23"/>
  <c r="C276" i="23"/>
  <c r="C319" i="23"/>
  <c r="C362" i="23"/>
  <c r="C405" i="23"/>
  <c r="C448" i="23"/>
  <c r="C491" i="23"/>
  <c r="C534" i="23"/>
  <c r="B61" i="23"/>
  <c r="B104" i="23"/>
  <c r="B147" i="23"/>
  <c r="B190" i="23"/>
  <c r="B233" i="23"/>
  <c r="B276" i="23"/>
  <c r="B319" i="23"/>
  <c r="B362" i="23"/>
  <c r="B405" i="23"/>
  <c r="B448" i="23"/>
  <c r="B491" i="23"/>
  <c r="B534" i="23"/>
  <c r="H60" i="23"/>
  <c r="F60" i="23"/>
  <c r="E60" i="23"/>
  <c r="D60" i="23"/>
  <c r="C60" i="23"/>
  <c r="C103" i="23"/>
  <c r="C146" i="23"/>
  <c r="C189" i="23"/>
  <c r="C232" i="23"/>
  <c r="C275" i="23"/>
  <c r="C318" i="23"/>
  <c r="C361" i="23"/>
  <c r="C404" i="23"/>
  <c r="C447" i="23"/>
  <c r="C490" i="23"/>
  <c r="C533" i="23"/>
  <c r="B60" i="23"/>
  <c r="B103" i="23"/>
  <c r="B146" i="23"/>
  <c r="B189" i="23"/>
  <c r="B232" i="23"/>
  <c r="B275" i="23"/>
  <c r="B318" i="23"/>
  <c r="B361" i="23"/>
  <c r="B404" i="23"/>
  <c r="B447" i="23"/>
  <c r="B490" i="23"/>
  <c r="B533" i="23"/>
  <c r="H59" i="23"/>
  <c r="G59" i="23"/>
  <c r="F59" i="23"/>
  <c r="E59" i="23"/>
  <c r="D59" i="23"/>
  <c r="D102" i="23"/>
  <c r="D145" i="23"/>
  <c r="D188" i="23"/>
  <c r="D231" i="23"/>
  <c r="D274" i="23"/>
  <c r="D317" i="23"/>
  <c r="D360" i="23"/>
  <c r="D403" i="23"/>
  <c r="D446" i="23"/>
  <c r="D489" i="23"/>
  <c r="D532" i="23"/>
  <c r="C59" i="23"/>
  <c r="C102" i="23"/>
  <c r="C145" i="23"/>
  <c r="C188" i="23"/>
  <c r="C231" i="23"/>
  <c r="C274" i="23"/>
  <c r="B59" i="23"/>
  <c r="F58" i="23"/>
  <c r="E58" i="23"/>
  <c r="D58" i="23"/>
  <c r="D101" i="23"/>
  <c r="D144" i="23"/>
  <c r="D187" i="23"/>
  <c r="D230" i="23"/>
  <c r="D273" i="23"/>
  <c r="D316" i="23"/>
  <c r="D359" i="23"/>
  <c r="D402" i="23"/>
  <c r="D445" i="23"/>
  <c r="D488" i="23"/>
  <c r="D531" i="23"/>
  <c r="C58" i="23"/>
  <c r="C101" i="23"/>
  <c r="C144" i="23"/>
  <c r="C187" i="23"/>
  <c r="C230" i="23"/>
  <c r="C273" i="23"/>
  <c r="C316" i="23"/>
  <c r="C359" i="23"/>
  <c r="C402" i="23"/>
  <c r="C445" i="23"/>
  <c r="C488" i="23"/>
  <c r="C531" i="23"/>
  <c r="B58" i="23"/>
  <c r="H57" i="23"/>
  <c r="G57" i="23"/>
  <c r="F57" i="23"/>
  <c r="E57" i="23"/>
  <c r="D57" i="23"/>
  <c r="C57" i="23"/>
  <c r="B57" i="23"/>
  <c r="F56" i="23"/>
  <c r="F99" i="23"/>
  <c r="E56" i="23"/>
  <c r="D56" i="23"/>
  <c r="D99" i="23"/>
  <c r="D142" i="23"/>
  <c r="D185" i="23"/>
  <c r="D228" i="23"/>
  <c r="D271" i="23"/>
  <c r="D314" i="23"/>
  <c r="D357" i="23"/>
  <c r="D400" i="23"/>
  <c r="D443" i="23"/>
  <c r="D486" i="23"/>
  <c r="D529" i="23"/>
  <c r="C56" i="23"/>
  <c r="C99" i="23"/>
  <c r="C142" i="23"/>
  <c r="C185" i="23"/>
  <c r="C228" i="23"/>
  <c r="C271" i="23"/>
  <c r="C314" i="23"/>
  <c r="C357" i="23"/>
  <c r="C400" i="23"/>
  <c r="C443" i="23"/>
  <c r="C486" i="23"/>
  <c r="C529" i="23"/>
  <c r="B56" i="23"/>
  <c r="B99" i="23"/>
  <c r="B142" i="23"/>
  <c r="B185" i="23"/>
  <c r="B228" i="23"/>
  <c r="B271" i="23"/>
  <c r="B314" i="23"/>
  <c r="B357" i="23"/>
  <c r="B400" i="23"/>
  <c r="B443" i="23"/>
  <c r="B486" i="23"/>
  <c r="B529" i="23"/>
  <c r="H55" i="23"/>
  <c r="G55" i="23"/>
  <c r="F55" i="23"/>
  <c r="E55" i="23"/>
  <c r="D55" i="23"/>
  <c r="C55" i="23"/>
  <c r="B55" i="23"/>
  <c r="G54" i="23"/>
  <c r="F54" i="23"/>
  <c r="E54" i="23"/>
  <c r="D54" i="23"/>
  <c r="D97" i="23"/>
  <c r="D140" i="23"/>
  <c r="D183" i="23"/>
  <c r="D226" i="23"/>
  <c r="D269" i="23"/>
  <c r="D312" i="23"/>
  <c r="D355" i="23"/>
  <c r="D398" i="23"/>
  <c r="D441" i="23"/>
  <c r="D484" i="23"/>
  <c r="D527" i="23"/>
  <c r="C54" i="23"/>
  <c r="C97" i="23"/>
  <c r="C140" i="23"/>
  <c r="C183" i="23"/>
  <c r="C226" i="23"/>
  <c r="C269" i="23"/>
  <c r="C312" i="23"/>
  <c r="C355" i="23"/>
  <c r="C398" i="23"/>
  <c r="C441" i="23"/>
  <c r="C484" i="23"/>
  <c r="C527" i="23"/>
  <c r="B54" i="23"/>
  <c r="B97" i="23"/>
  <c r="F53" i="23"/>
  <c r="E53" i="23"/>
  <c r="D53" i="23"/>
  <c r="C53" i="23"/>
  <c r="B53" i="23"/>
  <c r="B96" i="23"/>
  <c r="B139" i="23"/>
  <c r="B182" i="23"/>
  <c r="B225" i="23"/>
  <c r="B268" i="23"/>
  <c r="B311" i="23"/>
  <c r="B354" i="23"/>
  <c r="B397" i="23"/>
  <c r="B440" i="23"/>
  <c r="B483" i="23"/>
  <c r="B526" i="23"/>
  <c r="F52" i="23"/>
  <c r="E52" i="23"/>
  <c r="D52" i="23"/>
  <c r="D95" i="23"/>
  <c r="D138" i="23"/>
  <c r="D181" i="23"/>
  <c r="D224" i="23"/>
  <c r="D267" i="23"/>
  <c r="D310" i="23"/>
  <c r="D353" i="23"/>
  <c r="D396" i="23"/>
  <c r="D439" i="23"/>
  <c r="D482" i="23"/>
  <c r="D525" i="23"/>
  <c r="C52" i="23"/>
  <c r="B52" i="23"/>
  <c r="D51" i="23"/>
  <c r="H47" i="23"/>
  <c r="G47" i="23"/>
  <c r="G90" i="23"/>
  <c r="G133" i="23"/>
  <c r="G176" i="23"/>
  <c r="G219" i="23"/>
  <c r="G262" i="23"/>
  <c r="G305" i="23"/>
  <c r="G348" i="23"/>
  <c r="G391" i="23"/>
  <c r="G434" i="23"/>
  <c r="G477" i="23"/>
  <c r="G520" i="23"/>
  <c r="F47" i="23"/>
  <c r="F90" i="23"/>
  <c r="F133" i="23"/>
  <c r="F176" i="23"/>
  <c r="F219" i="23"/>
  <c r="F262" i="23"/>
  <c r="F305" i="23"/>
  <c r="F348" i="23"/>
  <c r="F391" i="23"/>
  <c r="F434" i="23"/>
  <c r="F477" i="23"/>
  <c r="F520" i="23"/>
  <c r="E47" i="23"/>
  <c r="E90" i="23"/>
  <c r="E133" i="23"/>
  <c r="E176" i="23"/>
  <c r="E219" i="23"/>
  <c r="E262" i="23"/>
  <c r="E305" i="23"/>
  <c r="E348" i="23"/>
  <c r="E391" i="23"/>
  <c r="E434" i="23"/>
  <c r="E477" i="23"/>
  <c r="E520" i="23"/>
  <c r="L41" i="23"/>
  <c r="L84" i="23"/>
  <c r="L127" i="23"/>
  <c r="L170" i="23"/>
  <c r="L213" i="23"/>
  <c r="L256" i="23"/>
  <c r="L299" i="23"/>
  <c r="L342" i="23"/>
  <c r="L385" i="23"/>
  <c r="L428" i="23"/>
  <c r="L471" i="23"/>
  <c r="L514" i="23"/>
  <c r="N36" i="23"/>
  <c r="F35" i="23"/>
  <c r="I35" i="23"/>
  <c r="E35" i="23"/>
  <c r="G35" i="23"/>
  <c r="J34" i="23"/>
  <c r="F34" i="23"/>
  <c r="E34" i="23"/>
  <c r="I33" i="23"/>
  <c r="I34" i="23"/>
  <c r="H33" i="23"/>
  <c r="G33" i="23"/>
  <c r="F33" i="23"/>
  <c r="E33" i="23"/>
  <c r="H32" i="23"/>
  <c r="G32" i="23"/>
  <c r="F32" i="23"/>
  <c r="E32" i="23"/>
  <c r="F31" i="23"/>
  <c r="E31" i="23"/>
  <c r="F30" i="23"/>
  <c r="E30" i="23"/>
  <c r="E73" i="23"/>
  <c r="H29" i="23"/>
  <c r="G29" i="23"/>
  <c r="F29" i="23"/>
  <c r="F72" i="23"/>
  <c r="E29" i="23"/>
  <c r="E72" i="23"/>
  <c r="G72" i="23"/>
  <c r="F28" i="23"/>
  <c r="E28" i="23"/>
  <c r="J27" i="23"/>
  <c r="F27" i="23"/>
  <c r="F70" i="23"/>
  <c r="E27" i="23"/>
  <c r="F26" i="23"/>
  <c r="E26" i="23"/>
  <c r="F25" i="23"/>
  <c r="E25" i="23"/>
  <c r="J24" i="23"/>
  <c r="I24" i="23"/>
  <c r="I26" i="23"/>
  <c r="I27" i="23"/>
  <c r="H24" i="23"/>
  <c r="F24" i="23"/>
  <c r="E24" i="23"/>
  <c r="N21" i="23"/>
  <c r="N41" i="23"/>
  <c r="F21" i="23"/>
  <c r="H21" i="23"/>
  <c r="E21" i="23"/>
  <c r="G21" i="23"/>
  <c r="I20" i="23"/>
  <c r="H20" i="23"/>
  <c r="G20" i="23"/>
  <c r="J19" i="23"/>
  <c r="H19" i="23"/>
  <c r="G19" i="23"/>
  <c r="H18" i="23"/>
  <c r="G18" i="23"/>
  <c r="H17" i="23"/>
  <c r="G17" i="23"/>
  <c r="H16" i="23"/>
  <c r="G16" i="23"/>
  <c r="H15" i="23"/>
  <c r="G15" i="23"/>
  <c r="H14" i="23"/>
  <c r="G14" i="23"/>
  <c r="H13" i="23"/>
  <c r="G13" i="23"/>
  <c r="J12" i="23"/>
  <c r="I12" i="23"/>
  <c r="H12" i="23"/>
  <c r="G12" i="23"/>
  <c r="I11" i="23"/>
  <c r="I18" i="23"/>
  <c r="I19" i="23"/>
  <c r="H11" i="23"/>
  <c r="G11" i="23"/>
  <c r="H10" i="23"/>
  <c r="G10" i="23"/>
  <c r="J9" i="23"/>
  <c r="I9" i="23"/>
  <c r="H9" i="23"/>
  <c r="G9" i="23"/>
  <c r="Y27" i="7"/>
  <c r="V27" i="7"/>
  <c r="M27" i="7"/>
  <c r="J26" i="7"/>
  <c r="J31" i="7"/>
  <c r="J32" i="7"/>
  <c r="AE28" i="7"/>
  <c r="AE27" i="7"/>
  <c r="AH26" i="7"/>
  <c r="AH31" i="7"/>
  <c r="AH32" i="7"/>
  <c r="AH27" i="7"/>
  <c r="M69" i="7"/>
  <c r="P68" i="7"/>
  <c r="P67" i="7"/>
  <c r="P50" i="7"/>
  <c r="J48" i="7"/>
  <c r="J49" i="7"/>
  <c r="AB27" i="7"/>
  <c r="AE31" i="7"/>
  <c r="AE32" i="7"/>
  <c r="N380" i="23"/>
  <c r="N299" i="23"/>
  <c r="F250" i="23"/>
  <c r="E116" i="23"/>
  <c r="G73" i="23"/>
  <c r="E201" i="23"/>
  <c r="G158" i="23"/>
  <c r="F230" i="23"/>
  <c r="E187" i="23"/>
  <c r="G144" i="23"/>
  <c r="F201" i="23"/>
  <c r="H158" i="23"/>
  <c r="E182" i="23"/>
  <c r="E156" i="23"/>
  <c r="H70" i="23"/>
  <c r="F113" i="23"/>
  <c r="F142" i="23"/>
  <c r="G146" i="23"/>
  <c r="E189" i="23"/>
  <c r="F200" i="23"/>
  <c r="C121" i="23"/>
  <c r="F79" i="23"/>
  <c r="E148" i="23"/>
  <c r="N122" i="23"/>
  <c r="N127" i="23"/>
  <c r="G30" i="23"/>
  <c r="G63" i="23"/>
  <c r="I164" i="23"/>
  <c r="H27" i="23"/>
  <c r="H30" i="23"/>
  <c r="H34" i="23"/>
  <c r="G34" i="23"/>
  <c r="E95" i="23"/>
  <c r="E97" i="23"/>
  <c r="H61" i="23"/>
  <c r="H63" i="23"/>
  <c r="H69" i="23"/>
  <c r="H71" i="23"/>
  <c r="E78" i="23"/>
  <c r="E247" i="23"/>
  <c r="G204" i="23"/>
  <c r="H144" i="23"/>
  <c r="F149" i="23"/>
  <c r="F162" i="23"/>
  <c r="F95" i="23"/>
  <c r="G119" i="23"/>
  <c r="E162" i="23"/>
  <c r="G98" i="23"/>
  <c r="E106" i="23"/>
  <c r="G115" i="23"/>
  <c r="F247" i="23"/>
  <c r="H204" i="23"/>
  <c r="G27" i="23"/>
  <c r="G52" i="23"/>
  <c r="E99" i="23"/>
  <c r="H99" i="23"/>
  <c r="G101" i="23"/>
  <c r="F104" i="23"/>
  <c r="E68" i="23"/>
  <c r="H58" i="23"/>
  <c r="G58" i="23"/>
  <c r="H28" i="23"/>
  <c r="G96" i="23"/>
  <c r="H72" i="23"/>
  <c r="H35" i="23"/>
  <c r="F141" i="23"/>
  <c r="H54" i="23"/>
  <c r="G76" i="23"/>
  <c r="H76" i="23"/>
  <c r="G25" i="23"/>
  <c r="F105" i="23"/>
  <c r="E141" i="23"/>
  <c r="E233" i="23"/>
  <c r="H25" i="23"/>
  <c r="N64" i="23"/>
  <c r="N84" i="23"/>
  <c r="E69" i="23"/>
  <c r="H26" i="23"/>
  <c r="G26" i="23"/>
  <c r="H62" i="23"/>
  <c r="F97" i="23"/>
  <c r="F139" i="23"/>
  <c r="F155" i="23"/>
  <c r="G161" i="23"/>
  <c r="F64" i="23"/>
  <c r="H52" i="23"/>
  <c r="G56" i="23"/>
  <c r="F68" i="23"/>
  <c r="E36" i="23"/>
  <c r="E100" i="23"/>
  <c r="E102" i="23"/>
  <c r="F73" i="23"/>
  <c r="E77" i="23"/>
  <c r="F146" i="23"/>
  <c r="H161" i="23"/>
  <c r="F41" i="23"/>
  <c r="E74" i="23"/>
  <c r="G31" i="23"/>
  <c r="F74" i="23"/>
  <c r="H31" i="23"/>
  <c r="G28" i="23"/>
  <c r="H56" i="23"/>
  <c r="G70" i="23"/>
  <c r="F36" i="23"/>
  <c r="H36" i="23"/>
  <c r="F100" i="23"/>
  <c r="F102" i="23"/>
  <c r="E64" i="23"/>
  <c r="G64" i="23"/>
  <c r="E71" i="23"/>
  <c r="C149" i="23"/>
  <c r="F224" i="23"/>
  <c r="F77" i="23"/>
  <c r="E67" i="23"/>
  <c r="G53" i="23"/>
  <c r="F67" i="23"/>
  <c r="N322" i="23"/>
  <c r="N337" i="23"/>
  <c r="G24" i="23"/>
  <c r="E41" i="23"/>
  <c r="G41" i="23"/>
  <c r="H53" i="23"/>
  <c r="G60" i="23"/>
  <c r="I95" i="21"/>
  <c r="H99" i="21"/>
  <c r="G99" i="21"/>
  <c r="H98" i="21"/>
  <c r="G98" i="21"/>
  <c r="H97" i="21"/>
  <c r="H96" i="21"/>
  <c r="G96" i="21"/>
  <c r="H95" i="21"/>
  <c r="G95" i="21"/>
  <c r="AL19" i="15"/>
  <c r="AI19" i="15"/>
  <c r="AF19" i="15"/>
  <c r="AC19" i="15"/>
  <c r="Z19" i="15"/>
  <c r="W19" i="15"/>
  <c r="T19" i="15"/>
  <c r="Q19" i="15"/>
  <c r="N19" i="15"/>
  <c r="K19" i="15"/>
  <c r="H19" i="15"/>
  <c r="H17" i="15"/>
  <c r="K17" i="15"/>
  <c r="N17" i="15"/>
  <c r="Q17" i="15"/>
  <c r="T17" i="15"/>
  <c r="W17" i="15"/>
  <c r="Z17" i="15"/>
  <c r="AC17" i="15"/>
  <c r="AF17" i="15"/>
  <c r="AI17" i="15"/>
  <c r="AL17" i="15"/>
  <c r="AL13" i="15"/>
  <c r="AI13" i="15"/>
  <c r="AF13" i="15"/>
  <c r="AC13" i="15"/>
  <c r="Z13" i="15"/>
  <c r="W13" i="15"/>
  <c r="T13" i="15"/>
  <c r="Q13" i="15"/>
  <c r="N13" i="15"/>
  <c r="K13" i="15"/>
  <c r="H13" i="15"/>
  <c r="AL54" i="8"/>
  <c r="AI54" i="8"/>
  <c r="AF54" i="8"/>
  <c r="AC54" i="8"/>
  <c r="Z54" i="8"/>
  <c r="W54" i="8"/>
  <c r="T54" i="8"/>
  <c r="Q54" i="8"/>
  <c r="N54" i="8"/>
  <c r="K54" i="8"/>
  <c r="H54" i="8"/>
  <c r="AL48" i="8"/>
  <c r="AI48" i="8"/>
  <c r="AF48" i="8"/>
  <c r="AC48" i="8"/>
  <c r="Z48" i="8"/>
  <c r="W48" i="8"/>
  <c r="T48" i="8"/>
  <c r="Q48" i="8"/>
  <c r="N48" i="8"/>
  <c r="K48" i="8"/>
  <c r="H48" i="8"/>
  <c r="AL42" i="8"/>
  <c r="AI42" i="8"/>
  <c r="AF42" i="8"/>
  <c r="AC42" i="8"/>
  <c r="Z42" i="8"/>
  <c r="W42" i="8"/>
  <c r="T42" i="8"/>
  <c r="Q42" i="8"/>
  <c r="N42" i="8"/>
  <c r="K42" i="8"/>
  <c r="H42" i="8"/>
  <c r="AL36" i="8"/>
  <c r="AI36" i="8"/>
  <c r="AF36" i="8"/>
  <c r="AC36" i="8"/>
  <c r="Z36" i="8"/>
  <c r="W36" i="8"/>
  <c r="T36" i="8"/>
  <c r="Q36" i="8"/>
  <c r="N36" i="8"/>
  <c r="K36" i="8"/>
  <c r="H36" i="8"/>
  <c r="AL12" i="8"/>
  <c r="AI12" i="8"/>
  <c r="AF12" i="8"/>
  <c r="AC12" i="8"/>
  <c r="Z12" i="8"/>
  <c r="W12" i="8"/>
  <c r="T12" i="8"/>
  <c r="Q12" i="8"/>
  <c r="N12" i="8"/>
  <c r="K12" i="8"/>
  <c r="H12" i="8"/>
  <c r="AL30" i="8"/>
  <c r="AI30" i="8"/>
  <c r="AF30" i="8"/>
  <c r="AC30" i="8"/>
  <c r="Z30" i="8"/>
  <c r="W30" i="8"/>
  <c r="T30" i="8"/>
  <c r="Q30" i="8"/>
  <c r="N30" i="8"/>
  <c r="K30" i="8"/>
  <c r="H30" i="8"/>
  <c r="E13" i="17"/>
  <c r="H13" i="17"/>
  <c r="K13" i="17"/>
  <c r="N13" i="17"/>
  <c r="Q13" i="17"/>
  <c r="T13" i="17"/>
  <c r="W13" i="17"/>
  <c r="Z13" i="17"/>
  <c r="AC13" i="17"/>
  <c r="AF13" i="17"/>
  <c r="AI13" i="17"/>
  <c r="AL13" i="17"/>
  <c r="J47" i="19"/>
  <c r="AL13" i="18"/>
  <c r="AI13" i="18"/>
  <c r="AF13" i="18"/>
  <c r="AC13" i="18"/>
  <c r="Z13" i="18"/>
  <c r="W13" i="18"/>
  <c r="T13" i="18"/>
  <c r="Q13" i="18"/>
  <c r="N13" i="18"/>
  <c r="K13" i="18"/>
  <c r="H13" i="18"/>
  <c r="J24" i="19"/>
  <c r="H13" i="10"/>
  <c r="K13" i="10"/>
  <c r="N13" i="10"/>
  <c r="Q13" i="10"/>
  <c r="T13" i="10"/>
  <c r="W13" i="10"/>
  <c r="Z13" i="10"/>
  <c r="AC13" i="10"/>
  <c r="AF13" i="10"/>
  <c r="AI13" i="10"/>
  <c r="AL13" i="10"/>
  <c r="E25" i="8"/>
  <c r="J27" i="7"/>
  <c r="P51" i="7"/>
  <c r="M70" i="7"/>
  <c r="M71" i="7"/>
  <c r="M51" i="7"/>
  <c r="M53" i="7"/>
  <c r="M54" i="7"/>
  <c r="M55" i="7"/>
  <c r="P69" i="7"/>
  <c r="S68" i="7"/>
  <c r="S67" i="7"/>
  <c r="S50" i="7"/>
  <c r="G100" i="23"/>
  <c r="E143" i="23"/>
  <c r="F198" i="23"/>
  <c r="E276" i="23"/>
  <c r="G106" i="23"/>
  <c r="E149" i="23"/>
  <c r="F267" i="23"/>
  <c r="H139" i="23"/>
  <c r="F182" i="23"/>
  <c r="H104" i="23"/>
  <c r="F147" i="23"/>
  <c r="E290" i="23"/>
  <c r="G247" i="23"/>
  <c r="N165" i="23"/>
  <c r="F185" i="23"/>
  <c r="H142" i="23"/>
  <c r="E230" i="23"/>
  <c r="G187" i="23"/>
  <c r="E117" i="23"/>
  <c r="G74" i="23"/>
  <c r="G36" i="23"/>
  <c r="G141" i="23"/>
  <c r="E184" i="23"/>
  <c r="E205" i="23"/>
  <c r="G162" i="23"/>
  <c r="E121" i="23"/>
  <c r="G78" i="23"/>
  <c r="E191" i="23"/>
  <c r="H187" i="23"/>
  <c r="F140" i="23"/>
  <c r="H97" i="23"/>
  <c r="H105" i="23"/>
  <c r="F148" i="23"/>
  <c r="G99" i="23"/>
  <c r="E142" i="23"/>
  <c r="G105" i="23"/>
  <c r="F156" i="23"/>
  <c r="G156" i="23"/>
  <c r="H113" i="23"/>
  <c r="H230" i="23"/>
  <c r="F273" i="23"/>
  <c r="H79" i="23"/>
  <c r="E244" i="23"/>
  <c r="G201" i="23"/>
  <c r="G67" i="23"/>
  <c r="E110" i="23"/>
  <c r="C192" i="23"/>
  <c r="E79" i="23"/>
  <c r="G79" i="23"/>
  <c r="F243" i="23"/>
  <c r="N342" i="23"/>
  <c r="N365" i="23"/>
  <c r="N385" i="23"/>
  <c r="F145" i="23"/>
  <c r="H102" i="23"/>
  <c r="G77" i="23"/>
  <c r="E120" i="23"/>
  <c r="H78" i="23"/>
  <c r="G69" i="23"/>
  <c r="E112" i="23"/>
  <c r="H162" i="23"/>
  <c r="F205" i="23"/>
  <c r="E140" i="23"/>
  <c r="G97" i="23"/>
  <c r="E225" i="23"/>
  <c r="E159" i="23"/>
  <c r="E114" i="23"/>
  <c r="G71" i="23"/>
  <c r="C164" i="23"/>
  <c r="E122" i="23"/>
  <c r="H68" i="23"/>
  <c r="F111" i="23"/>
  <c r="F107" i="23"/>
  <c r="F116" i="23"/>
  <c r="G116" i="23"/>
  <c r="H73" i="23"/>
  <c r="E84" i="23"/>
  <c r="G84" i="23"/>
  <c r="I149" i="23"/>
  <c r="H149" i="23"/>
  <c r="F192" i="23"/>
  <c r="G139" i="23"/>
  <c r="F293" i="23"/>
  <c r="E107" i="23"/>
  <c r="G107" i="23"/>
  <c r="G113" i="23"/>
  <c r="F84" i="23"/>
  <c r="H106" i="23"/>
  <c r="H77" i="23"/>
  <c r="F120" i="23"/>
  <c r="H100" i="23"/>
  <c r="F143" i="23"/>
  <c r="E145" i="23"/>
  <c r="G102" i="23"/>
  <c r="H64" i="23"/>
  <c r="G68" i="23"/>
  <c r="E111" i="23"/>
  <c r="F290" i="23"/>
  <c r="H247" i="23"/>
  <c r="H41" i="23"/>
  <c r="E199" i="23"/>
  <c r="H146" i="23"/>
  <c r="F189" i="23"/>
  <c r="H95" i="23"/>
  <c r="H67" i="23"/>
  <c r="F110" i="23"/>
  <c r="H74" i="23"/>
  <c r="F117" i="23"/>
  <c r="H141" i="23"/>
  <c r="F184" i="23"/>
  <c r="G95" i="23"/>
  <c r="E127" i="23"/>
  <c r="E138" i="23"/>
  <c r="E232" i="23"/>
  <c r="F244" i="23"/>
  <c r="H201" i="23"/>
  <c r="G104" i="23"/>
  <c r="K25" i="8"/>
  <c r="H25" i="8"/>
  <c r="AJ10" i="5"/>
  <c r="X26" i="5"/>
  <c r="X18" i="5"/>
  <c r="X10" i="5"/>
  <c r="G101" i="21"/>
  <c r="M38" i="7"/>
  <c r="J33" i="7"/>
  <c r="S51" i="7"/>
  <c r="P53" i="7"/>
  <c r="P54" i="7"/>
  <c r="P55" i="7"/>
  <c r="V50" i="7"/>
  <c r="P70" i="7"/>
  <c r="P71" i="7"/>
  <c r="S69" i="7"/>
  <c r="V68" i="7"/>
  <c r="V67" i="7"/>
  <c r="P38" i="7"/>
  <c r="M33" i="7"/>
  <c r="F153" i="23"/>
  <c r="H110" i="23"/>
  <c r="E275" i="23"/>
  <c r="G184" i="23"/>
  <c r="E227" i="23"/>
  <c r="G127" i="23"/>
  <c r="C207" i="23"/>
  <c r="E287" i="23"/>
  <c r="G244" i="23"/>
  <c r="H140" i="23"/>
  <c r="F183" i="23"/>
  <c r="G117" i="23"/>
  <c r="E160" i="23"/>
  <c r="G114" i="23"/>
  <c r="E157" i="23"/>
  <c r="H114" i="23"/>
  <c r="F225" i="23"/>
  <c r="H182" i="23"/>
  <c r="F241" i="23"/>
  <c r="H148" i="23"/>
  <c r="F191" i="23"/>
  <c r="F122" i="23"/>
  <c r="H122" i="23"/>
  <c r="H84" i="23"/>
  <c r="H184" i="23"/>
  <c r="F227" i="23"/>
  <c r="F286" i="23"/>
  <c r="E234" i="23"/>
  <c r="E273" i="23"/>
  <c r="G230" i="23"/>
  <c r="G143" i="23"/>
  <c r="E186" i="23"/>
  <c r="E192" i="23"/>
  <c r="G149" i="23"/>
  <c r="F127" i="23"/>
  <c r="H127" i="23"/>
  <c r="F159" i="23"/>
  <c r="H116" i="23"/>
  <c r="G112" i="23"/>
  <c r="E155" i="23"/>
  <c r="H112" i="23"/>
  <c r="G148" i="23"/>
  <c r="E333" i="23"/>
  <c r="G290" i="23"/>
  <c r="N408" i="23"/>
  <c r="N428" i="23"/>
  <c r="F190" i="23"/>
  <c r="H147" i="23"/>
  <c r="G147" i="23"/>
  <c r="G111" i="23"/>
  <c r="E154" i="23"/>
  <c r="E170" i="23"/>
  <c r="E319" i="23"/>
  <c r="H117" i="23"/>
  <c r="F160" i="23"/>
  <c r="E242" i="23"/>
  <c r="G199" i="23"/>
  <c r="F150" i="23"/>
  <c r="H150" i="23"/>
  <c r="G225" i="23"/>
  <c r="E268" i="23"/>
  <c r="E164" i="23"/>
  <c r="G121" i="23"/>
  <c r="H121" i="23"/>
  <c r="G140" i="23"/>
  <c r="E183" i="23"/>
  <c r="E181" i="23"/>
  <c r="H138" i="23"/>
  <c r="G138" i="23"/>
  <c r="F232" i="23"/>
  <c r="H189" i="23"/>
  <c r="F336" i="23"/>
  <c r="I293" i="23"/>
  <c r="H143" i="23"/>
  <c r="F186" i="23"/>
  <c r="E163" i="23"/>
  <c r="G120" i="23"/>
  <c r="F228" i="23"/>
  <c r="H107" i="23"/>
  <c r="E150" i="23"/>
  <c r="E185" i="23"/>
  <c r="G142" i="23"/>
  <c r="G122" i="23"/>
  <c r="F248" i="23"/>
  <c r="H205" i="23"/>
  <c r="H290" i="23"/>
  <c r="F333" i="23"/>
  <c r="F316" i="23"/>
  <c r="H273" i="23"/>
  <c r="E188" i="23"/>
  <c r="G145" i="23"/>
  <c r="G159" i="23"/>
  <c r="E202" i="23"/>
  <c r="G182" i="23"/>
  <c r="F199" i="23"/>
  <c r="H156" i="23"/>
  <c r="C235" i="23"/>
  <c r="E193" i="23"/>
  <c r="F287" i="23"/>
  <c r="H244" i="23"/>
  <c r="F154" i="23"/>
  <c r="H111" i="23"/>
  <c r="G189" i="23"/>
  <c r="F163" i="23"/>
  <c r="H120" i="23"/>
  <c r="H192" i="23"/>
  <c r="F235" i="23"/>
  <c r="F188" i="23"/>
  <c r="H145" i="23"/>
  <c r="E153" i="23"/>
  <c r="G110" i="23"/>
  <c r="E248" i="23"/>
  <c r="G205" i="23"/>
  <c r="F310" i="23"/>
  <c r="I267" i="23"/>
  <c r="I269" i="23"/>
  <c r="N25" i="8"/>
  <c r="AJ18" i="5"/>
  <c r="E11" i="7"/>
  <c r="AL56" i="8"/>
  <c r="AI56" i="8"/>
  <c r="AF56" i="8"/>
  <c r="AC56" i="8"/>
  <c r="Z56" i="8"/>
  <c r="W56" i="8"/>
  <c r="T56" i="8"/>
  <c r="Q56" i="8"/>
  <c r="N56" i="8"/>
  <c r="K56" i="8"/>
  <c r="H56" i="8"/>
  <c r="E56" i="8"/>
  <c r="AL50" i="8"/>
  <c r="AI50" i="8"/>
  <c r="AF50" i="8"/>
  <c r="AC50" i="8"/>
  <c r="Z50" i="8"/>
  <c r="W50" i="8"/>
  <c r="T50" i="8"/>
  <c r="Q50" i="8"/>
  <c r="N50" i="8"/>
  <c r="K50" i="8"/>
  <c r="H50" i="8"/>
  <c r="E50" i="8"/>
  <c r="AL44" i="8"/>
  <c r="AI44" i="8"/>
  <c r="AF44" i="8"/>
  <c r="AC44" i="8"/>
  <c r="Z44" i="8"/>
  <c r="W44" i="8"/>
  <c r="T44" i="8"/>
  <c r="Q44" i="8"/>
  <c r="N44" i="8"/>
  <c r="K44" i="8"/>
  <c r="H44" i="8"/>
  <c r="E44" i="8"/>
  <c r="AL38" i="8"/>
  <c r="AI38" i="8"/>
  <c r="AF38" i="8"/>
  <c r="AC38" i="8"/>
  <c r="Z38" i="8"/>
  <c r="W38" i="8"/>
  <c r="T38" i="8"/>
  <c r="Q38" i="8"/>
  <c r="N38" i="8"/>
  <c r="K38" i="8"/>
  <c r="H38" i="8"/>
  <c r="E38" i="8"/>
  <c r="AL32" i="8"/>
  <c r="AI32" i="8"/>
  <c r="AF32" i="8"/>
  <c r="AC32" i="8"/>
  <c r="Z32" i="8"/>
  <c r="W32" i="8"/>
  <c r="T32" i="8"/>
  <c r="Q32" i="8"/>
  <c r="N32" i="8"/>
  <c r="K32" i="8"/>
  <c r="H32" i="8"/>
  <c r="E32" i="8"/>
  <c r="Q26" i="8"/>
  <c r="N26" i="8"/>
  <c r="K26" i="8"/>
  <c r="H26" i="8"/>
  <c r="E26" i="8"/>
  <c r="AL20" i="8"/>
  <c r="AI20" i="8"/>
  <c r="AF20" i="8"/>
  <c r="AC20" i="8"/>
  <c r="Z20" i="8"/>
  <c r="W20" i="8"/>
  <c r="T20" i="8"/>
  <c r="Q20" i="8"/>
  <c r="N20" i="8"/>
  <c r="K20" i="8"/>
  <c r="H20" i="8"/>
  <c r="E20" i="8"/>
  <c r="AL14" i="8"/>
  <c r="AI14" i="8"/>
  <c r="AF14" i="8"/>
  <c r="AC14" i="8"/>
  <c r="Z14" i="8"/>
  <c r="W14" i="8"/>
  <c r="T14" i="8"/>
  <c r="Q14" i="8"/>
  <c r="N14" i="8"/>
  <c r="K14" i="8"/>
  <c r="H14" i="8"/>
  <c r="E14" i="8"/>
  <c r="AL62" i="8"/>
  <c r="AI62" i="8"/>
  <c r="AF62" i="8"/>
  <c r="AC62" i="8"/>
  <c r="Z62" i="8"/>
  <c r="W62" i="8"/>
  <c r="T62" i="8"/>
  <c r="Q62" i="8"/>
  <c r="N62" i="8"/>
  <c r="K62" i="8"/>
  <c r="H62" i="8"/>
  <c r="E62" i="8"/>
  <c r="E16" i="15"/>
  <c r="V51" i="7"/>
  <c r="S70" i="7"/>
  <c r="S71" i="7"/>
  <c r="Y50" i="7"/>
  <c r="S53" i="7"/>
  <c r="S54" i="7"/>
  <c r="S55" i="7"/>
  <c r="V69" i="7"/>
  <c r="Y68" i="7"/>
  <c r="Y67" i="7"/>
  <c r="S38" i="7"/>
  <c r="P33" i="7"/>
  <c r="H232" i="23"/>
  <c r="F275" i="23"/>
  <c r="E311" i="23"/>
  <c r="E208" i="23"/>
  <c r="C250" i="23"/>
  <c r="F278" i="23"/>
  <c r="F193" i="23"/>
  <c r="H193" i="23"/>
  <c r="G188" i="23"/>
  <c r="E231" i="23"/>
  <c r="G155" i="23"/>
  <c r="E198" i="23"/>
  <c r="H155" i="23"/>
  <c r="E316" i="23"/>
  <c r="G273" i="23"/>
  <c r="E270" i="23"/>
  <c r="G227" i="23"/>
  <c r="G157" i="23"/>
  <c r="E200" i="23"/>
  <c r="H157" i="23"/>
  <c r="I270" i="23"/>
  <c r="I276" i="23"/>
  <c r="I277" i="23"/>
  <c r="C278" i="23"/>
  <c r="E236" i="23"/>
  <c r="E206" i="23"/>
  <c r="G163" i="23"/>
  <c r="E277" i="23"/>
  <c r="E203" i="23"/>
  <c r="G160" i="23"/>
  <c r="G181" i="23"/>
  <c r="E224" i="23"/>
  <c r="E213" i="23"/>
  <c r="H181" i="23"/>
  <c r="G183" i="23"/>
  <c r="E226" i="23"/>
  <c r="H183" i="23"/>
  <c r="F226" i="23"/>
  <c r="E318" i="23"/>
  <c r="H191" i="23"/>
  <c r="F234" i="23"/>
  <c r="F359" i="23"/>
  <c r="H228" i="23"/>
  <c r="F271" i="23"/>
  <c r="F206" i="23"/>
  <c r="H163" i="23"/>
  <c r="G191" i="23"/>
  <c r="F353" i="23"/>
  <c r="H186" i="23"/>
  <c r="F229" i="23"/>
  <c r="H333" i="23"/>
  <c r="F376" i="23"/>
  <c r="H160" i="23"/>
  <c r="F203" i="23"/>
  <c r="F329" i="23"/>
  <c r="F284" i="23"/>
  <c r="H287" i="23"/>
  <c r="F330" i="23"/>
  <c r="H159" i="23"/>
  <c r="F202" i="23"/>
  <c r="G193" i="23"/>
  <c r="E197" i="23"/>
  <c r="G154" i="23"/>
  <c r="F233" i="23"/>
  <c r="H190" i="23"/>
  <c r="G190" i="23"/>
  <c r="G153" i="23"/>
  <c r="E196" i="23"/>
  <c r="E362" i="23"/>
  <c r="G287" i="23"/>
  <c r="E330" i="23"/>
  <c r="F196" i="23"/>
  <c r="F213" i="23"/>
  <c r="H213" i="23"/>
  <c r="I153" i="23"/>
  <c r="I155" i="23"/>
  <c r="H153" i="23"/>
  <c r="E228" i="23"/>
  <c r="G185" i="23"/>
  <c r="G232" i="23"/>
  <c r="E291" i="23"/>
  <c r="G248" i="23"/>
  <c r="F242" i="23"/>
  <c r="H199" i="23"/>
  <c r="F379" i="23"/>
  <c r="G164" i="23"/>
  <c r="E207" i="23"/>
  <c r="H164" i="23"/>
  <c r="G333" i="23"/>
  <c r="E376" i="23"/>
  <c r="E235" i="23"/>
  <c r="G192" i="23"/>
  <c r="E165" i="23"/>
  <c r="E285" i="23"/>
  <c r="G150" i="23"/>
  <c r="F197" i="23"/>
  <c r="H154" i="23"/>
  <c r="H188" i="23"/>
  <c r="F231" i="23"/>
  <c r="G202" i="23"/>
  <c r="E245" i="23"/>
  <c r="F291" i="23"/>
  <c r="H248" i="23"/>
  <c r="H185" i="23"/>
  <c r="F170" i="23"/>
  <c r="H170" i="23"/>
  <c r="G186" i="23"/>
  <c r="E229" i="23"/>
  <c r="H227" i="23"/>
  <c r="F270" i="23"/>
  <c r="F268" i="23"/>
  <c r="G268" i="23"/>
  <c r="H225" i="23"/>
  <c r="F165" i="23"/>
  <c r="H165" i="23"/>
  <c r="Q25" i="8"/>
  <c r="AJ26" i="5"/>
  <c r="K11" i="7"/>
  <c r="K12" i="7"/>
  <c r="I100" i="21"/>
  <c r="I99" i="21"/>
  <c r="I97" i="21"/>
  <c r="I96" i="21"/>
  <c r="I57" i="21"/>
  <c r="J25" i="21"/>
  <c r="AL23" i="15"/>
  <c r="AI23" i="15"/>
  <c r="AF23" i="15"/>
  <c r="AC23" i="15"/>
  <c r="Z23" i="15"/>
  <c r="W23" i="15"/>
  <c r="T23" i="15"/>
  <c r="Q23" i="15"/>
  <c r="N23" i="15"/>
  <c r="K23" i="15"/>
  <c r="H23" i="15"/>
  <c r="E23" i="15"/>
  <c r="AL16" i="15"/>
  <c r="AI16" i="15"/>
  <c r="AF16" i="15"/>
  <c r="AC16" i="15"/>
  <c r="Z16" i="15"/>
  <c r="W16" i="15"/>
  <c r="T16" i="15"/>
  <c r="Q16" i="15"/>
  <c r="N16" i="15"/>
  <c r="K16" i="15"/>
  <c r="H16" i="15"/>
  <c r="AL13" i="14"/>
  <c r="AI13" i="14"/>
  <c r="AF13" i="14"/>
  <c r="AC13" i="14"/>
  <c r="Z13" i="14"/>
  <c r="W13" i="14"/>
  <c r="T13" i="14"/>
  <c r="Q13" i="14"/>
  <c r="N13" i="14"/>
  <c r="K13" i="14"/>
  <c r="H13" i="14"/>
  <c r="E13" i="14"/>
  <c r="AL30" i="11"/>
  <c r="AI30" i="11"/>
  <c r="AF30" i="11"/>
  <c r="AC30" i="11"/>
  <c r="Z30" i="11"/>
  <c r="W30" i="11"/>
  <c r="T30" i="11"/>
  <c r="Q30" i="11"/>
  <c r="N30" i="11"/>
  <c r="K30" i="11"/>
  <c r="H30" i="11"/>
  <c r="E30" i="11"/>
  <c r="AL23" i="11"/>
  <c r="AI23" i="11"/>
  <c r="AF23" i="11"/>
  <c r="AC23" i="11"/>
  <c r="Z23" i="11"/>
  <c r="W23" i="11"/>
  <c r="T23" i="11"/>
  <c r="Q23" i="11"/>
  <c r="N23" i="11"/>
  <c r="K23" i="11"/>
  <c r="H23" i="11"/>
  <c r="E23" i="11"/>
  <c r="AV18" i="5"/>
  <c r="AV26" i="5"/>
  <c r="AV34" i="5"/>
  <c r="AV42" i="5"/>
  <c r="AV50" i="5"/>
  <c r="AV58" i="5"/>
  <c r="AV66" i="5"/>
  <c r="AV74" i="5"/>
  <c r="AV82" i="5"/>
  <c r="AV90" i="5"/>
  <c r="AV98" i="5"/>
  <c r="AT18" i="5"/>
  <c r="AT26" i="5"/>
  <c r="AT34" i="5"/>
  <c r="AT42" i="5"/>
  <c r="AT50" i="5"/>
  <c r="AT58" i="5"/>
  <c r="AT66" i="5"/>
  <c r="AT74" i="5"/>
  <c r="AT82" i="5"/>
  <c r="AT90" i="5"/>
  <c r="AT98" i="5"/>
  <c r="C4" i="22"/>
  <c r="C2" i="22"/>
  <c r="I35" i="22"/>
  <c r="J111" i="21"/>
  <c r="J107" i="21"/>
  <c r="H101" i="21"/>
  <c r="I101" i="21"/>
  <c r="J103" i="21"/>
  <c r="I98" i="21"/>
  <c r="C99" i="21"/>
  <c r="C98" i="21"/>
  <c r="C96" i="21"/>
  <c r="C95" i="21"/>
  <c r="C93" i="21"/>
  <c r="H86" i="21"/>
  <c r="I86" i="21"/>
  <c r="H85" i="21"/>
  <c r="I85" i="21"/>
  <c r="H83" i="21"/>
  <c r="I83" i="21"/>
  <c r="H82" i="21"/>
  <c r="G86" i="21"/>
  <c r="G85" i="21"/>
  <c r="G84" i="21"/>
  <c r="G83" i="21"/>
  <c r="G82" i="21"/>
  <c r="I82" i="21"/>
  <c r="C86" i="21"/>
  <c r="C85" i="21"/>
  <c r="C84" i="21"/>
  <c r="C83" i="21"/>
  <c r="C82" i="21"/>
  <c r="C80" i="21"/>
  <c r="H77" i="21"/>
  <c r="I77" i="21"/>
  <c r="H76" i="21"/>
  <c r="I76" i="21"/>
  <c r="H75" i="21"/>
  <c r="I75" i="21"/>
  <c r="H74" i="21"/>
  <c r="G77" i="21"/>
  <c r="G76" i="21"/>
  <c r="G75" i="21"/>
  <c r="G74" i="21"/>
  <c r="C77" i="21"/>
  <c r="C76" i="21"/>
  <c r="C75" i="21"/>
  <c r="C74" i="21"/>
  <c r="C72" i="21"/>
  <c r="H62" i="21"/>
  <c r="H61" i="21"/>
  <c r="H60" i="21"/>
  <c r="H58" i="21"/>
  <c r="G62" i="21"/>
  <c r="I62" i="21"/>
  <c r="G61" i="21"/>
  <c r="I61" i="21"/>
  <c r="G60" i="21"/>
  <c r="I60" i="21"/>
  <c r="G59" i="21"/>
  <c r="G58" i="21"/>
  <c r="H57" i="21"/>
  <c r="G57" i="21"/>
  <c r="C57" i="21"/>
  <c r="C62" i="21"/>
  <c r="C61" i="21"/>
  <c r="C60" i="21"/>
  <c r="C59" i="21"/>
  <c r="C58" i="21"/>
  <c r="C55" i="21"/>
  <c r="H52" i="21"/>
  <c r="H50" i="21"/>
  <c r="I50" i="21"/>
  <c r="G52" i="21"/>
  <c r="G51" i="21"/>
  <c r="G50" i="21"/>
  <c r="C52" i="21"/>
  <c r="C51" i="21"/>
  <c r="C50" i="21"/>
  <c r="C48" i="21"/>
  <c r="C38" i="21"/>
  <c r="B36" i="21"/>
  <c r="C33" i="21"/>
  <c r="C32" i="21"/>
  <c r="C28" i="21"/>
  <c r="C27" i="21"/>
  <c r="C26" i="21"/>
  <c r="C25" i="21"/>
  <c r="C24" i="21"/>
  <c r="C23" i="21"/>
  <c r="C22" i="21"/>
  <c r="C21" i="21"/>
  <c r="B19" i="21"/>
  <c r="C16" i="21"/>
  <c r="C15" i="21"/>
  <c r="B13" i="21"/>
  <c r="C10" i="21"/>
  <c r="C9" i="21"/>
  <c r="B5" i="21"/>
  <c r="C8" i="21"/>
  <c r="B3" i="21"/>
  <c r="C34" i="21"/>
  <c r="AH18" i="5"/>
  <c r="AH26" i="5"/>
  <c r="AH42" i="5"/>
  <c r="V70" i="7"/>
  <c r="V71" i="7"/>
  <c r="AB50" i="7"/>
  <c r="Y51" i="7"/>
  <c r="V53" i="7"/>
  <c r="V54" i="7"/>
  <c r="V55" i="7"/>
  <c r="Y69" i="7"/>
  <c r="AB68" i="7"/>
  <c r="AB67" i="7"/>
  <c r="V38" i="7"/>
  <c r="S33" i="7"/>
  <c r="AH50" i="5"/>
  <c r="L208" i="23"/>
  <c r="N208" i="23"/>
  <c r="L150" i="23"/>
  <c r="N150" i="23"/>
  <c r="N170" i="23"/>
  <c r="E359" i="23"/>
  <c r="G316" i="23"/>
  <c r="G213" i="23"/>
  <c r="F236" i="23"/>
  <c r="H236" i="23"/>
  <c r="F208" i="23"/>
  <c r="H208" i="23"/>
  <c r="G311" i="23"/>
  <c r="E354" i="23"/>
  <c r="F334" i="23"/>
  <c r="H291" i="23"/>
  <c r="F327" i="23"/>
  <c r="F372" i="23"/>
  <c r="H359" i="23"/>
  <c r="F402" i="23"/>
  <c r="E241" i="23"/>
  <c r="G198" i="23"/>
  <c r="H198" i="23"/>
  <c r="H196" i="23"/>
  <c r="F239" i="23"/>
  <c r="E288" i="23"/>
  <c r="G245" i="23"/>
  <c r="F274" i="23"/>
  <c r="H231" i="23"/>
  <c r="E419" i="23"/>
  <c r="G376" i="23"/>
  <c r="G197" i="23"/>
  <c r="E240" i="23"/>
  <c r="H234" i="23"/>
  <c r="F277" i="23"/>
  <c r="F318" i="23"/>
  <c r="H275" i="23"/>
  <c r="H316" i="23"/>
  <c r="G291" i="23"/>
  <c r="E334" i="23"/>
  <c r="E405" i="23"/>
  <c r="F396" i="23"/>
  <c r="H229" i="23"/>
  <c r="F272" i="23"/>
  <c r="G275" i="23"/>
  <c r="E246" i="23"/>
  <c r="G203" i="23"/>
  <c r="E243" i="23"/>
  <c r="G200" i="23"/>
  <c r="H200" i="23"/>
  <c r="E274" i="23"/>
  <c r="G231" i="23"/>
  <c r="G170" i="23"/>
  <c r="H242" i="23"/>
  <c r="F285" i="23"/>
  <c r="E278" i="23"/>
  <c r="G235" i="23"/>
  <c r="F246" i="23"/>
  <c r="H203" i="23"/>
  <c r="E361" i="23"/>
  <c r="G234" i="23"/>
  <c r="F276" i="23"/>
  <c r="H233" i="23"/>
  <c r="G233" i="23"/>
  <c r="H197" i="23"/>
  <c r="F240" i="23"/>
  <c r="E250" i="23"/>
  <c r="G207" i="23"/>
  <c r="H207" i="23"/>
  <c r="H202" i="23"/>
  <c r="F245" i="23"/>
  <c r="H226" i="23"/>
  <c r="F269" i="23"/>
  <c r="E320" i="23"/>
  <c r="G277" i="23"/>
  <c r="G165" i="23"/>
  <c r="G224" i="23"/>
  <c r="E256" i="23"/>
  <c r="E267" i="23"/>
  <c r="H224" i="23"/>
  <c r="H270" i="23"/>
  <c r="F313" i="23"/>
  <c r="E272" i="23"/>
  <c r="G229" i="23"/>
  <c r="G228" i="23"/>
  <c r="E271" i="23"/>
  <c r="H271" i="23"/>
  <c r="F419" i="23"/>
  <c r="H376" i="23"/>
  <c r="F249" i="23"/>
  <c r="H206" i="23"/>
  <c r="G270" i="23"/>
  <c r="E313" i="23"/>
  <c r="I278" i="23"/>
  <c r="F321" i="23"/>
  <c r="H278" i="23"/>
  <c r="G330" i="23"/>
  <c r="E373" i="23"/>
  <c r="F311" i="23"/>
  <c r="H268" i="23"/>
  <c r="E328" i="23"/>
  <c r="G285" i="23"/>
  <c r="E239" i="23"/>
  <c r="G196" i="23"/>
  <c r="F373" i="23"/>
  <c r="H330" i="23"/>
  <c r="G226" i="23"/>
  <c r="E269" i="23"/>
  <c r="E249" i="23"/>
  <c r="G206" i="23"/>
  <c r="H235" i="23"/>
  <c r="C321" i="23"/>
  <c r="F279" i="23"/>
  <c r="E279" i="23"/>
  <c r="G279" i="23"/>
  <c r="G242" i="23"/>
  <c r="F422" i="23"/>
  <c r="I162" i="23"/>
  <c r="I163" i="23"/>
  <c r="I156" i="23"/>
  <c r="F314" i="23"/>
  <c r="C293" i="23"/>
  <c r="T25" i="8"/>
  <c r="T26" i="8"/>
  <c r="I87" i="21"/>
  <c r="I52" i="21"/>
  <c r="I74" i="21"/>
  <c r="I58" i="21"/>
  <c r="G78" i="21"/>
  <c r="H78" i="21"/>
  <c r="G87" i="21"/>
  <c r="G63" i="21"/>
  <c r="G53" i="21"/>
  <c r="H87" i="21"/>
  <c r="V90" i="5"/>
  <c r="Y53" i="7"/>
  <c r="Y54" i="7"/>
  <c r="Y55" i="7"/>
  <c r="AB51" i="7"/>
  <c r="AE67" i="7"/>
  <c r="AB69" i="7"/>
  <c r="AE68" i="7"/>
  <c r="Y38" i="7"/>
  <c r="V33" i="7"/>
  <c r="AE50" i="7"/>
  <c r="Y70" i="7"/>
  <c r="Y71" i="7"/>
  <c r="AH66" i="5"/>
  <c r="AH74" i="5"/>
  <c r="AH90" i="5"/>
  <c r="L251" i="23"/>
  <c r="N251" i="23"/>
  <c r="V98" i="5"/>
  <c r="L494" i="23"/>
  <c r="L451" i="23"/>
  <c r="N451" i="23"/>
  <c r="L193" i="23"/>
  <c r="N193" i="23"/>
  <c r="E397" i="23"/>
  <c r="E462" i="23"/>
  <c r="G419" i="23"/>
  <c r="H402" i="23"/>
  <c r="F445" i="23"/>
  <c r="G256" i="23"/>
  <c r="E286" i="23"/>
  <c r="G243" i="23"/>
  <c r="H243" i="23"/>
  <c r="F415" i="23"/>
  <c r="H240" i="23"/>
  <c r="F283" i="23"/>
  <c r="F357" i="23"/>
  <c r="E371" i="23"/>
  <c r="G328" i="23"/>
  <c r="H276" i="23"/>
  <c r="F319" i="23"/>
  <c r="G276" i="23"/>
  <c r="F361" i="23"/>
  <c r="H318" i="23"/>
  <c r="G208" i="23"/>
  <c r="G271" i="23"/>
  <c r="E314" i="23"/>
  <c r="F289" i="23"/>
  <c r="H246" i="23"/>
  <c r="E289" i="23"/>
  <c r="G246" i="23"/>
  <c r="E315" i="23"/>
  <c r="G272" i="23"/>
  <c r="H285" i="23"/>
  <c r="F328" i="23"/>
  <c r="F315" i="23"/>
  <c r="H272" i="23"/>
  <c r="H277" i="23"/>
  <c r="F320" i="23"/>
  <c r="E331" i="23"/>
  <c r="G288" i="23"/>
  <c r="E282" i="23"/>
  <c r="G239" i="23"/>
  <c r="F322" i="23"/>
  <c r="C364" i="23"/>
  <c r="F312" i="23"/>
  <c r="H269" i="23"/>
  <c r="G249" i="23"/>
  <c r="E292" i="23"/>
  <c r="H313" i="23"/>
  <c r="F356" i="23"/>
  <c r="H245" i="23"/>
  <c r="F288" i="23"/>
  <c r="F370" i="23"/>
  <c r="E402" i="23"/>
  <c r="G359" i="23"/>
  <c r="H279" i="23"/>
  <c r="F292" i="23"/>
  <c r="H249" i="23"/>
  <c r="F282" i="23"/>
  <c r="H239" i="23"/>
  <c r="G236" i="23"/>
  <c r="C336" i="23"/>
  <c r="F364" i="23"/>
  <c r="F317" i="23"/>
  <c r="H274" i="23"/>
  <c r="I422" i="23"/>
  <c r="F465" i="23"/>
  <c r="G318" i="23"/>
  <c r="G240" i="23"/>
  <c r="E283" i="23"/>
  <c r="E284" i="23"/>
  <c r="G241" i="23"/>
  <c r="H241" i="23"/>
  <c r="E363" i="23"/>
  <c r="G320" i="23"/>
  <c r="G313" i="23"/>
  <c r="E356" i="23"/>
  <c r="G373" i="23"/>
  <c r="E416" i="23"/>
  <c r="E251" i="23"/>
  <c r="E404" i="23"/>
  <c r="E317" i="23"/>
  <c r="G274" i="23"/>
  <c r="I396" i="23"/>
  <c r="I398" i="23"/>
  <c r="F439" i="23"/>
  <c r="F256" i="23"/>
  <c r="H256" i="23"/>
  <c r="G334" i="23"/>
  <c r="E377" i="23"/>
  <c r="E321" i="23"/>
  <c r="G278" i="23"/>
  <c r="H311" i="23"/>
  <c r="F354" i="23"/>
  <c r="G354" i="23"/>
  <c r="E312" i="23"/>
  <c r="G269" i="23"/>
  <c r="F251" i="23"/>
  <c r="H251" i="23"/>
  <c r="H373" i="23"/>
  <c r="F416" i="23"/>
  <c r="F462" i="23"/>
  <c r="H419" i="23"/>
  <c r="E310" i="23"/>
  <c r="G267" i="23"/>
  <c r="H267" i="23"/>
  <c r="E293" i="23"/>
  <c r="G250" i="23"/>
  <c r="H250" i="23"/>
  <c r="E448" i="23"/>
  <c r="F377" i="23"/>
  <c r="H334" i="23"/>
  <c r="W25" i="8"/>
  <c r="W26" i="8"/>
  <c r="I78" i="21"/>
  <c r="J89" i="21"/>
  <c r="AJ34" i="5"/>
  <c r="X34" i="5"/>
  <c r="N12" i="7"/>
  <c r="N11" i="7"/>
  <c r="AL24" i="12"/>
  <c r="AI24" i="12"/>
  <c r="AF24" i="12"/>
  <c r="AC24" i="12"/>
  <c r="Z24" i="12"/>
  <c r="W24" i="12"/>
  <c r="T24" i="12"/>
  <c r="Q24" i="12"/>
  <c r="N24" i="12"/>
  <c r="K24" i="12"/>
  <c r="H24" i="12"/>
  <c r="AL23" i="14"/>
  <c r="AI23" i="14"/>
  <c r="AF23" i="14"/>
  <c r="AC23" i="14"/>
  <c r="Z23" i="14"/>
  <c r="W23" i="14"/>
  <c r="T23" i="14"/>
  <c r="Q23" i="14"/>
  <c r="N23" i="14"/>
  <c r="K23" i="14"/>
  <c r="H23" i="14"/>
  <c r="AL14" i="16"/>
  <c r="AL31" i="16"/>
  <c r="AI14" i="16"/>
  <c r="AI31" i="16"/>
  <c r="AF14" i="16"/>
  <c r="AF31" i="16"/>
  <c r="AC14" i="16"/>
  <c r="AC31" i="16"/>
  <c r="Z14" i="16"/>
  <c r="Z31" i="16"/>
  <c r="W14" i="16"/>
  <c r="W31" i="16"/>
  <c r="T14" i="16"/>
  <c r="T31" i="16"/>
  <c r="Q14" i="16"/>
  <c r="Q31" i="16"/>
  <c r="N14" i="16"/>
  <c r="N31" i="16"/>
  <c r="K14" i="16"/>
  <c r="K31" i="16"/>
  <c r="H14" i="16"/>
  <c r="H31" i="16"/>
  <c r="E14" i="16"/>
  <c r="J6" i="19"/>
  <c r="H66" i="19"/>
  <c r="H64" i="19"/>
  <c r="H62" i="19"/>
  <c r="H61" i="19"/>
  <c r="H60" i="19"/>
  <c r="H59" i="19"/>
  <c r="H58" i="19"/>
  <c r="H56" i="19"/>
  <c r="H54" i="19"/>
  <c r="H52" i="19"/>
  <c r="H50" i="19"/>
  <c r="H49" i="19"/>
  <c r="H48" i="19"/>
  <c r="H47" i="19"/>
  <c r="H45" i="19"/>
  <c r="H43" i="19"/>
  <c r="H41" i="19"/>
  <c r="H40" i="19"/>
  <c r="H39" i="19"/>
  <c r="H37" i="19"/>
  <c r="H38" i="19"/>
  <c r="H36" i="19"/>
  <c r="H34" i="19"/>
  <c r="H32" i="19"/>
  <c r="H30" i="19"/>
  <c r="H28" i="19"/>
  <c r="H26" i="19"/>
  <c r="H25" i="19"/>
  <c r="H24" i="19"/>
  <c r="H23" i="19"/>
  <c r="H21" i="19"/>
  <c r="H19" i="19"/>
  <c r="H12" i="19"/>
  <c r="H10" i="19"/>
  <c r="H17" i="19"/>
  <c r="H16" i="19"/>
  <c r="H15" i="19"/>
  <c r="H14" i="19"/>
  <c r="E43" i="19"/>
  <c r="C8" i="20"/>
  <c r="C6" i="20"/>
  <c r="C2" i="20"/>
  <c r="H8" i="19"/>
  <c r="H6" i="19"/>
  <c r="C6" i="19"/>
  <c r="C2" i="19"/>
  <c r="H2" i="19"/>
  <c r="E64" i="19"/>
  <c r="J52" i="19"/>
  <c r="E52" i="19"/>
  <c r="J28" i="19"/>
  <c r="E28" i="19"/>
  <c r="E19" i="19"/>
  <c r="AV6" i="18"/>
  <c r="AT6" i="18"/>
  <c r="BA4" i="18"/>
  <c r="BA6" i="18"/>
  <c r="AY4" i="18"/>
  <c r="AY6" i="18"/>
  <c r="AV4" i="18"/>
  <c r="AT4" i="18"/>
  <c r="AL24" i="18"/>
  <c r="AI24" i="18"/>
  <c r="AI39" i="6"/>
  <c r="AF24" i="18"/>
  <c r="AC24" i="18"/>
  <c r="Z24" i="18"/>
  <c r="W24" i="18"/>
  <c r="T24" i="18"/>
  <c r="Q24" i="18"/>
  <c r="N24" i="18"/>
  <c r="N39" i="6"/>
  <c r="K24" i="18"/>
  <c r="K39" i="6"/>
  <c r="H24" i="18"/>
  <c r="H39" i="6"/>
  <c r="E24" i="18"/>
  <c r="AQ8" i="18"/>
  <c r="AM8" i="18"/>
  <c r="AJ8" i="18"/>
  <c r="AG8" i="18"/>
  <c r="AD8" i="18"/>
  <c r="AA8" i="18"/>
  <c r="X8" i="18"/>
  <c r="U8" i="18"/>
  <c r="R8" i="18"/>
  <c r="O8" i="18"/>
  <c r="L8" i="18"/>
  <c r="I8" i="18"/>
  <c r="F8" i="18"/>
  <c r="AP9" i="18"/>
  <c r="AL9" i="18"/>
  <c r="AI9" i="18"/>
  <c r="AF9" i="18"/>
  <c r="AC9" i="18"/>
  <c r="Z9" i="18"/>
  <c r="W9" i="18"/>
  <c r="T9" i="18"/>
  <c r="Q9" i="18"/>
  <c r="N9" i="18"/>
  <c r="K9" i="18"/>
  <c r="H9" i="18"/>
  <c r="E9" i="18"/>
  <c r="AP8" i="18"/>
  <c r="AL8" i="18"/>
  <c r="AI8" i="18"/>
  <c r="AF8" i="18"/>
  <c r="AC8" i="18"/>
  <c r="Z8" i="18"/>
  <c r="W8" i="18"/>
  <c r="T8" i="18"/>
  <c r="Q8" i="18"/>
  <c r="N8" i="18"/>
  <c r="K8" i="18"/>
  <c r="H8" i="18"/>
  <c r="E8" i="18"/>
  <c r="E6" i="18"/>
  <c r="B6" i="18"/>
  <c r="B4" i="18"/>
  <c r="B3" i="18"/>
  <c r="B2" i="18"/>
  <c r="AP22" i="18"/>
  <c r="AP21" i="18"/>
  <c r="AP20" i="18"/>
  <c r="AP19" i="18"/>
  <c r="AP18" i="18"/>
  <c r="AP17" i="18"/>
  <c r="AP16" i="18"/>
  <c r="AP15" i="18"/>
  <c r="AP14" i="18"/>
  <c r="AP13" i="18"/>
  <c r="H6" i="18"/>
  <c r="K6" i="18"/>
  <c r="N6" i="18"/>
  <c r="Q6" i="18"/>
  <c r="T6" i="18"/>
  <c r="W6" i="18"/>
  <c r="Z6" i="18"/>
  <c r="AC6" i="18"/>
  <c r="AF6" i="18"/>
  <c r="AI6" i="18"/>
  <c r="AL6" i="18"/>
  <c r="AP6" i="18"/>
  <c r="AV6" i="17"/>
  <c r="AT6" i="17"/>
  <c r="BA4" i="17"/>
  <c r="BA6" i="17"/>
  <c r="AY4" i="17"/>
  <c r="AY6" i="17"/>
  <c r="AV4" i="17"/>
  <c r="AT4" i="17"/>
  <c r="AL8" i="17"/>
  <c r="AI8" i="17"/>
  <c r="AF8" i="17"/>
  <c r="AC8" i="17"/>
  <c r="Z8" i="17"/>
  <c r="W8" i="17"/>
  <c r="T8" i="17"/>
  <c r="Q8" i="17"/>
  <c r="N8" i="17"/>
  <c r="K8" i="17"/>
  <c r="H8" i="17"/>
  <c r="E8" i="17"/>
  <c r="AP9" i="17"/>
  <c r="AL9" i="17"/>
  <c r="AI9" i="17"/>
  <c r="AF9" i="17"/>
  <c r="AC9" i="17"/>
  <c r="Z9" i="17"/>
  <c r="W9" i="17"/>
  <c r="T9" i="17"/>
  <c r="Q9" i="17"/>
  <c r="N9" i="17"/>
  <c r="K9" i="17"/>
  <c r="H9" i="17"/>
  <c r="E9" i="17"/>
  <c r="AP8" i="17"/>
  <c r="AQ8" i="17"/>
  <c r="AM8" i="17"/>
  <c r="AJ8" i="17"/>
  <c r="AG8" i="17"/>
  <c r="AD8" i="17"/>
  <c r="AA8" i="17"/>
  <c r="X8" i="17"/>
  <c r="U8" i="17"/>
  <c r="R8" i="17"/>
  <c r="O8" i="17"/>
  <c r="L8" i="17"/>
  <c r="I8" i="17"/>
  <c r="F8" i="17"/>
  <c r="E6" i="17"/>
  <c r="H6" i="17"/>
  <c r="K6" i="17"/>
  <c r="N6" i="17"/>
  <c r="Q6" i="17"/>
  <c r="T6" i="17"/>
  <c r="W6" i="17"/>
  <c r="Z6" i="17"/>
  <c r="AC6" i="17"/>
  <c r="AF6" i="17"/>
  <c r="AI6" i="17"/>
  <c r="AL6" i="17"/>
  <c r="AP6" i="17"/>
  <c r="AL24" i="17"/>
  <c r="AI24" i="17"/>
  <c r="AI38" i="6"/>
  <c r="AF24" i="17"/>
  <c r="AC24" i="17"/>
  <c r="Z24" i="17"/>
  <c r="W24" i="17"/>
  <c r="T24" i="17"/>
  <c r="Q24" i="17"/>
  <c r="N24" i="17"/>
  <c r="K24" i="17"/>
  <c r="H24" i="17"/>
  <c r="E24" i="17"/>
  <c r="B6" i="17"/>
  <c r="B4" i="17"/>
  <c r="B3" i="17"/>
  <c r="B2" i="17"/>
  <c r="B6" i="16"/>
  <c r="B4" i="16"/>
  <c r="B3" i="16"/>
  <c r="B2" i="16"/>
  <c r="AP22" i="17"/>
  <c r="AP21" i="17"/>
  <c r="AP20" i="17"/>
  <c r="AP19" i="17"/>
  <c r="AP18" i="17"/>
  <c r="AP17" i="17"/>
  <c r="AP16" i="17"/>
  <c r="AP15" i="17"/>
  <c r="AP14" i="17"/>
  <c r="AP13" i="17"/>
  <c r="AP9" i="16"/>
  <c r="AL9" i="16"/>
  <c r="AI9" i="16"/>
  <c r="AF9" i="16"/>
  <c r="AC9" i="16"/>
  <c r="Z9" i="16"/>
  <c r="W9" i="16"/>
  <c r="T9" i="16"/>
  <c r="Q9" i="16"/>
  <c r="N9" i="16"/>
  <c r="K9" i="16"/>
  <c r="H9" i="16"/>
  <c r="E9" i="16"/>
  <c r="AQ8" i="16"/>
  <c r="AM8" i="16"/>
  <c r="AJ8" i="16"/>
  <c r="AG8" i="16"/>
  <c r="AD8" i="16"/>
  <c r="AA8" i="16"/>
  <c r="X8" i="16"/>
  <c r="U8" i="16"/>
  <c r="R8" i="16"/>
  <c r="O8" i="16"/>
  <c r="L8" i="16"/>
  <c r="I8" i="16"/>
  <c r="F8" i="16"/>
  <c r="AP8" i="16"/>
  <c r="AL8" i="16"/>
  <c r="AI8" i="16"/>
  <c r="AF8" i="16"/>
  <c r="AC8" i="16"/>
  <c r="Z8" i="16"/>
  <c r="W8" i="16"/>
  <c r="T8" i="16"/>
  <c r="Q8" i="16"/>
  <c r="N8" i="16"/>
  <c r="K8" i="16"/>
  <c r="H8" i="16"/>
  <c r="E8" i="16"/>
  <c r="E6" i="16"/>
  <c r="H6" i="16"/>
  <c r="K6" i="16"/>
  <c r="N6" i="16"/>
  <c r="Q6" i="16"/>
  <c r="T6" i="16"/>
  <c r="W6" i="16"/>
  <c r="Z6" i="16"/>
  <c r="AC6" i="16"/>
  <c r="AF6" i="16"/>
  <c r="AI6" i="16"/>
  <c r="AL6" i="16"/>
  <c r="AP6" i="16"/>
  <c r="AP29" i="16"/>
  <c r="E31" i="16"/>
  <c r="AV6" i="16"/>
  <c r="AT6" i="16"/>
  <c r="BA4" i="16"/>
  <c r="BA6" i="16"/>
  <c r="AY4" i="16"/>
  <c r="AY6" i="16"/>
  <c r="AV4" i="16"/>
  <c r="AT4" i="16"/>
  <c r="AP28" i="16"/>
  <c r="AP27" i="16"/>
  <c r="AP26" i="16"/>
  <c r="AP25" i="16"/>
  <c r="AP24" i="16"/>
  <c r="AP23" i="16"/>
  <c r="AP22" i="16"/>
  <c r="AP21" i="16"/>
  <c r="AP20" i="16"/>
  <c r="AP19" i="16"/>
  <c r="AP18" i="16"/>
  <c r="AP17" i="16"/>
  <c r="AP16" i="16"/>
  <c r="AP15" i="16"/>
  <c r="AP14" i="16"/>
  <c r="AP13" i="16"/>
  <c r="AQ8" i="15"/>
  <c r="AM8" i="15"/>
  <c r="AJ8" i="15"/>
  <c r="AG8" i="15"/>
  <c r="AD8" i="15"/>
  <c r="AA8" i="15"/>
  <c r="X8" i="15"/>
  <c r="U8" i="15"/>
  <c r="R8" i="15"/>
  <c r="O8" i="15"/>
  <c r="L8" i="15"/>
  <c r="I8" i="15"/>
  <c r="F8" i="15"/>
  <c r="AP9" i="15"/>
  <c r="AL9" i="15"/>
  <c r="AI9" i="15"/>
  <c r="AF9" i="15"/>
  <c r="AC9" i="15"/>
  <c r="Z9" i="15"/>
  <c r="W9" i="15"/>
  <c r="T9" i="15"/>
  <c r="Q9" i="15"/>
  <c r="N9" i="15"/>
  <c r="K9" i="15"/>
  <c r="H9" i="15"/>
  <c r="E9" i="15"/>
  <c r="AP8" i="15"/>
  <c r="AL8" i="15"/>
  <c r="AI8" i="15"/>
  <c r="AF8" i="15"/>
  <c r="AC8" i="15"/>
  <c r="Z8" i="15"/>
  <c r="W8" i="15"/>
  <c r="T8" i="15"/>
  <c r="Q8" i="15"/>
  <c r="N8" i="15"/>
  <c r="K8" i="15"/>
  <c r="H8" i="15"/>
  <c r="E8" i="15"/>
  <c r="E6" i="15"/>
  <c r="H6" i="15"/>
  <c r="K6" i="15"/>
  <c r="N6" i="15"/>
  <c r="Q6" i="15"/>
  <c r="T6" i="15"/>
  <c r="W6" i="15"/>
  <c r="Z6" i="15"/>
  <c r="AC6" i="15"/>
  <c r="AF6" i="15"/>
  <c r="AI6" i="15"/>
  <c r="AL6" i="15"/>
  <c r="AP6" i="15"/>
  <c r="AV6" i="15"/>
  <c r="AT6" i="15"/>
  <c r="BA4" i="15"/>
  <c r="BA6" i="15"/>
  <c r="AY4" i="15"/>
  <c r="AY6" i="15"/>
  <c r="AV4" i="15"/>
  <c r="AT4" i="15"/>
  <c r="B6" i="15"/>
  <c r="B3" i="12"/>
  <c r="AP27" i="15"/>
  <c r="AP26" i="15"/>
  <c r="AP25" i="15"/>
  <c r="AP24" i="15"/>
  <c r="AP23" i="15"/>
  <c r="AP22" i="15"/>
  <c r="AP21" i="15"/>
  <c r="AP19" i="15"/>
  <c r="AP18" i="15"/>
  <c r="AP17" i="15"/>
  <c r="AP16" i="15"/>
  <c r="AP15" i="15"/>
  <c r="AP14" i="15"/>
  <c r="AP13" i="15"/>
  <c r="E23" i="14"/>
  <c r="E31" i="6"/>
  <c r="AQ8" i="14"/>
  <c r="AM8" i="14"/>
  <c r="AJ8" i="14"/>
  <c r="AG8" i="14"/>
  <c r="AD8" i="14"/>
  <c r="AA8" i="14"/>
  <c r="X8" i="14"/>
  <c r="U8" i="14"/>
  <c r="R8" i="14"/>
  <c r="O8" i="14"/>
  <c r="L8" i="14"/>
  <c r="I8" i="14"/>
  <c r="F8" i="14"/>
  <c r="AP9" i="14"/>
  <c r="AL9" i="14"/>
  <c r="AI9" i="14"/>
  <c r="AF9" i="14"/>
  <c r="AC9" i="14"/>
  <c r="Z9" i="14"/>
  <c r="W9" i="14"/>
  <c r="T9" i="14"/>
  <c r="Q9" i="14"/>
  <c r="N9" i="14"/>
  <c r="K9" i="14"/>
  <c r="H9" i="14"/>
  <c r="E9" i="14"/>
  <c r="AP8" i="14"/>
  <c r="AL8" i="14"/>
  <c r="AI8" i="14"/>
  <c r="AF8" i="14"/>
  <c r="AC8" i="14"/>
  <c r="Z8" i="14"/>
  <c r="W8" i="14"/>
  <c r="T8" i="14"/>
  <c r="Q8" i="14"/>
  <c r="N8" i="14"/>
  <c r="K8" i="14"/>
  <c r="H8" i="14"/>
  <c r="E8" i="14"/>
  <c r="E6" i="14"/>
  <c r="AV6" i="14"/>
  <c r="AT6" i="14"/>
  <c r="BA4" i="14"/>
  <c r="BA6" i="14"/>
  <c r="AY4" i="14"/>
  <c r="AY6" i="14"/>
  <c r="AV4" i="14"/>
  <c r="AT4" i="14"/>
  <c r="B6" i="14"/>
  <c r="AP21" i="14"/>
  <c r="AP20" i="14"/>
  <c r="AP19" i="14"/>
  <c r="AP18" i="14"/>
  <c r="AP17" i="14"/>
  <c r="AP16" i="14"/>
  <c r="AP15" i="14"/>
  <c r="AP14" i="14"/>
  <c r="AP13" i="14"/>
  <c r="H6" i="14"/>
  <c r="K6" i="14"/>
  <c r="N6" i="14"/>
  <c r="Q6" i="14"/>
  <c r="T6" i="14"/>
  <c r="W6" i="14"/>
  <c r="Z6" i="14"/>
  <c r="AC6" i="14"/>
  <c r="AF6" i="14"/>
  <c r="AI6" i="14"/>
  <c r="AL6" i="14"/>
  <c r="AP6" i="14"/>
  <c r="B6" i="13"/>
  <c r="AQ8" i="13"/>
  <c r="AM8" i="13"/>
  <c r="AJ8" i="13"/>
  <c r="AG8" i="13"/>
  <c r="AD8" i="13"/>
  <c r="AA8" i="13"/>
  <c r="X8" i="13"/>
  <c r="U8" i="13"/>
  <c r="R8" i="13"/>
  <c r="O8" i="13"/>
  <c r="L8" i="13"/>
  <c r="I8" i="13"/>
  <c r="F8" i="13"/>
  <c r="AP9" i="13"/>
  <c r="AL9" i="13"/>
  <c r="AI9" i="13"/>
  <c r="AF9" i="13"/>
  <c r="AC9" i="13"/>
  <c r="Z9" i="13"/>
  <c r="W9" i="13"/>
  <c r="T9" i="13"/>
  <c r="Q9" i="13"/>
  <c r="N9" i="13"/>
  <c r="K9" i="13"/>
  <c r="H9" i="13"/>
  <c r="E9" i="13"/>
  <c r="AP8" i="13"/>
  <c r="AL8" i="13"/>
  <c r="AI8" i="13"/>
  <c r="AF8" i="13"/>
  <c r="AC8" i="13"/>
  <c r="Z8" i="13"/>
  <c r="W8" i="13"/>
  <c r="T8" i="13"/>
  <c r="Q8" i="13"/>
  <c r="N8" i="13"/>
  <c r="K8" i="13"/>
  <c r="H8" i="13"/>
  <c r="E8" i="13"/>
  <c r="E6" i="13"/>
  <c r="AV6" i="13"/>
  <c r="AT6" i="13"/>
  <c r="BA4" i="13"/>
  <c r="BA6" i="13"/>
  <c r="AY4" i="13"/>
  <c r="AY6" i="13"/>
  <c r="AV4" i="13"/>
  <c r="AT4" i="13"/>
  <c r="AP22" i="13"/>
  <c r="AP21" i="13"/>
  <c r="AP20" i="13"/>
  <c r="AP19" i="13"/>
  <c r="AP18" i="13"/>
  <c r="AP17" i="13"/>
  <c r="AP16" i="13"/>
  <c r="AP15" i="13"/>
  <c r="AP14" i="13"/>
  <c r="AP13" i="13"/>
  <c r="H6" i="13"/>
  <c r="K6" i="13"/>
  <c r="N6" i="13"/>
  <c r="Q6" i="13"/>
  <c r="T6" i="13"/>
  <c r="W6" i="13"/>
  <c r="Z6" i="13"/>
  <c r="AC6" i="13"/>
  <c r="AF6" i="13"/>
  <c r="AI6" i="13"/>
  <c r="AL6" i="13"/>
  <c r="AP6" i="13"/>
  <c r="C7" i="6"/>
  <c r="B7" i="13"/>
  <c r="AV6" i="12"/>
  <c r="AT6" i="12"/>
  <c r="BA4" i="12"/>
  <c r="BA6" i="12"/>
  <c r="AY4" i="12"/>
  <c r="AY6" i="12"/>
  <c r="AV4" i="12"/>
  <c r="AT4" i="12"/>
  <c r="AP8" i="12"/>
  <c r="AL8" i="12"/>
  <c r="AI8" i="12"/>
  <c r="AF8" i="12"/>
  <c r="AC8" i="12"/>
  <c r="Z8" i="12"/>
  <c r="W8" i="12"/>
  <c r="T8" i="12"/>
  <c r="Q8" i="12"/>
  <c r="N8" i="12"/>
  <c r="K8" i="12"/>
  <c r="H8" i="12"/>
  <c r="E8" i="12"/>
  <c r="E6" i="11"/>
  <c r="E6" i="10"/>
  <c r="E6" i="9"/>
  <c r="E6" i="12"/>
  <c r="B7" i="12"/>
  <c r="B6" i="12"/>
  <c r="E24" i="12"/>
  <c r="AP22" i="12"/>
  <c r="AP21" i="12"/>
  <c r="AP20" i="12"/>
  <c r="AP19" i="12"/>
  <c r="AP18" i="12"/>
  <c r="AP17" i="12"/>
  <c r="AP16" i="12"/>
  <c r="AP15" i="12"/>
  <c r="AP14" i="12"/>
  <c r="AP13" i="12"/>
  <c r="H6" i="12"/>
  <c r="K6" i="12"/>
  <c r="N6" i="12"/>
  <c r="Q6" i="12"/>
  <c r="T6" i="12"/>
  <c r="W6" i="12"/>
  <c r="Z6" i="12"/>
  <c r="AC6" i="12"/>
  <c r="AF6" i="12"/>
  <c r="AI6" i="12"/>
  <c r="AL6" i="12"/>
  <c r="AP6" i="12"/>
  <c r="AV6" i="11"/>
  <c r="AT6" i="11"/>
  <c r="BA4" i="11"/>
  <c r="BA6" i="11"/>
  <c r="AY4" i="11"/>
  <c r="AY6" i="11"/>
  <c r="AV4" i="11"/>
  <c r="AT4" i="11"/>
  <c r="AQ8" i="11"/>
  <c r="AM8" i="11"/>
  <c r="AJ8" i="11"/>
  <c r="AG8" i="11"/>
  <c r="AD8" i="11"/>
  <c r="AA8" i="11"/>
  <c r="X8" i="11"/>
  <c r="U8" i="11"/>
  <c r="R8" i="11"/>
  <c r="O8" i="11"/>
  <c r="L8" i="11"/>
  <c r="I8" i="11"/>
  <c r="F8" i="11"/>
  <c r="AP9" i="11"/>
  <c r="AL9" i="11"/>
  <c r="AI9" i="11"/>
  <c r="AF9" i="11"/>
  <c r="AC9" i="11"/>
  <c r="Z9" i="11"/>
  <c r="W9" i="11"/>
  <c r="T9" i="11"/>
  <c r="Q9" i="11"/>
  <c r="N9" i="11"/>
  <c r="K9" i="11"/>
  <c r="H9" i="11"/>
  <c r="E9" i="11"/>
  <c r="AP8" i="11"/>
  <c r="AL8" i="11"/>
  <c r="AI8" i="11"/>
  <c r="AF8" i="11"/>
  <c r="AC8" i="11"/>
  <c r="Z8" i="11"/>
  <c r="W8" i="11"/>
  <c r="T8" i="11"/>
  <c r="Q8" i="11"/>
  <c r="N8" i="11"/>
  <c r="K8" i="11"/>
  <c r="H8" i="11"/>
  <c r="E8" i="11"/>
  <c r="B6" i="11"/>
  <c r="B4" i="11"/>
  <c r="B3" i="11"/>
  <c r="B2" i="11"/>
  <c r="AP32" i="11"/>
  <c r="AP31" i="11"/>
  <c r="AP30" i="11"/>
  <c r="AP29" i="11"/>
  <c r="AP28" i="11"/>
  <c r="AP27" i="11"/>
  <c r="AP26" i="11"/>
  <c r="AP25" i="11"/>
  <c r="AP24" i="11"/>
  <c r="AP23" i="11"/>
  <c r="AP22" i="11"/>
  <c r="AP21" i="11"/>
  <c r="AP20" i="11"/>
  <c r="AP19" i="11"/>
  <c r="AP18" i="11"/>
  <c r="AP16" i="11"/>
  <c r="AP15" i="11"/>
  <c r="AP14" i="11"/>
  <c r="H6" i="11"/>
  <c r="K6" i="11"/>
  <c r="N6" i="11"/>
  <c r="Q6" i="11"/>
  <c r="T6" i="11"/>
  <c r="W6" i="11"/>
  <c r="Z6" i="11"/>
  <c r="AC6" i="11"/>
  <c r="AF6" i="11"/>
  <c r="AI6" i="11"/>
  <c r="AL6" i="11"/>
  <c r="AP6" i="11"/>
  <c r="O155" i="1"/>
  <c r="AV6" i="10"/>
  <c r="AT6" i="10"/>
  <c r="BA4" i="10"/>
  <c r="BA6" i="10"/>
  <c r="AY4" i="10"/>
  <c r="AY6" i="10"/>
  <c r="AV4" i="10"/>
  <c r="AT4" i="10"/>
  <c r="AQ8" i="10"/>
  <c r="AM8" i="10"/>
  <c r="AJ8" i="10"/>
  <c r="AG8" i="10"/>
  <c r="AD8" i="10"/>
  <c r="AA8" i="10"/>
  <c r="X8" i="10"/>
  <c r="U8" i="10"/>
  <c r="R8" i="10"/>
  <c r="O8" i="10"/>
  <c r="L8" i="10"/>
  <c r="I8" i="10"/>
  <c r="F8" i="10"/>
  <c r="AP9" i="10"/>
  <c r="AL9" i="10"/>
  <c r="AI9" i="10"/>
  <c r="AF9" i="10"/>
  <c r="AC9" i="10"/>
  <c r="Z9" i="10"/>
  <c r="W9" i="10"/>
  <c r="T9" i="10"/>
  <c r="Q9" i="10"/>
  <c r="N9" i="10"/>
  <c r="K9" i="10"/>
  <c r="H9" i="10"/>
  <c r="E9" i="10"/>
  <c r="AP8" i="10"/>
  <c r="AL8" i="10"/>
  <c r="AI8" i="10"/>
  <c r="AF8" i="10"/>
  <c r="AC8" i="10"/>
  <c r="Z8" i="10"/>
  <c r="W8" i="10"/>
  <c r="T8" i="10"/>
  <c r="Q8" i="10"/>
  <c r="N8" i="10"/>
  <c r="K8" i="10"/>
  <c r="H8" i="10"/>
  <c r="E8" i="10"/>
  <c r="H6" i="10"/>
  <c r="K6" i="10"/>
  <c r="N6" i="10"/>
  <c r="Q6" i="10"/>
  <c r="T6" i="10"/>
  <c r="W6" i="10"/>
  <c r="Z6" i="10"/>
  <c r="AC6" i="10"/>
  <c r="AF6" i="10"/>
  <c r="AI6" i="10"/>
  <c r="AL6" i="10"/>
  <c r="AP6" i="10"/>
  <c r="B6" i="10"/>
  <c r="B4" i="10"/>
  <c r="B3" i="10"/>
  <c r="B2" i="10"/>
  <c r="AJ25" i="10"/>
  <c r="AM25" i="10"/>
  <c r="AG25" i="10"/>
  <c r="AP23" i="10"/>
  <c r="AP22" i="10"/>
  <c r="AP21" i="10"/>
  <c r="AP20" i="10"/>
  <c r="AP19" i="10"/>
  <c r="AP18" i="10"/>
  <c r="AP17" i="10"/>
  <c r="AP16" i="10"/>
  <c r="AP15" i="10"/>
  <c r="AP13" i="10"/>
  <c r="D54" i="1"/>
  <c r="D63" i="1"/>
  <c r="D72" i="1"/>
  <c r="D82" i="1"/>
  <c r="D91" i="1"/>
  <c r="D100" i="1"/>
  <c r="D109" i="1"/>
  <c r="D118" i="1"/>
  <c r="D127" i="1"/>
  <c r="D136" i="1"/>
  <c r="D146" i="1"/>
  <c r="D155" i="1"/>
  <c r="D164" i="1"/>
  <c r="D173" i="1"/>
  <c r="D182" i="1"/>
  <c r="D191" i="1"/>
  <c r="D200" i="1"/>
  <c r="D210" i="1"/>
  <c r="D219" i="1"/>
  <c r="D228" i="1"/>
  <c r="D237" i="1"/>
  <c r="D246" i="1"/>
  <c r="D255" i="1"/>
  <c r="D264" i="1"/>
  <c r="D274" i="1"/>
  <c r="D283" i="1"/>
  <c r="D292" i="1"/>
  <c r="D301" i="1"/>
  <c r="D310" i="1"/>
  <c r="D319" i="1"/>
  <c r="D328" i="1"/>
  <c r="F54" i="1"/>
  <c r="F18" i="1"/>
  <c r="F27" i="1"/>
  <c r="F36" i="1"/>
  <c r="F45" i="1"/>
  <c r="F63" i="1"/>
  <c r="F72" i="1"/>
  <c r="F82" i="1"/>
  <c r="F91" i="1"/>
  <c r="F100" i="1"/>
  <c r="F109" i="1"/>
  <c r="F118" i="1"/>
  <c r="F127" i="1"/>
  <c r="F136" i="1"/>
  <c r="F146" i="1"/>
  <c r="F155" i="1"/>
  <c r="F164" i="1"/>
  <c r="F173" i="1"/>
  <c r="F182" i="1"/>
  <c r="F191" i="1"/>
  <c r="F200" i="1"/>
  <c r="F210" i="1"/>
  <c r="F219" i="1"/>
  <c r="F228" i="1"/>
  <c r="F237" i="1"/>
  <c r="F246" i="1"/>
  <c r="F255" i="1"/>
  <c r="F264" i="1"/>
  <c r="F274" i="1"/>
  <c r="F283" i="1"/>
  <c r="F292" i="1"/>
  <c r="AS13" i="6"/>
  <c r="AS12" i="6"/>
  <c r="AS11" i="6"/>
  <c r="K72" i="1"/>
  <c r="K82" i="1"/>
  <c r="K91" i="1"/>
  <c r="K100" i="1"/>
  <c r="K109" i="1"/>
  <c r="K118" i="1"/>
  <c r="K127" i="1"/>
  <c r="K136" i="1"/>
  <c r="K146" i="1"/>
  <c r="K155" i="1"/>
  <c r="K164" i="1"/>
  <c r="K173" i="1"/>
  <c r="K182" i="1"/>
  <c r="K191" i="1"/>
  <c r="K200" i="1"/>
  <c r="K210" i="1"/>
  <c r="K219" i="1"/>
  <c r="K228" i="1"/>
  <c r="K237" i="1"/>
  <c r="K246" i="1"/>
  <c r="K255" i="1"/>
  <c r="K264" i="1"/>
  <c r="K274" i="1"/>
  <c r="K283" i="1"/>
  <c r="K292" i="1"/>
  <c r="K301" i="1"/>
  <c r="K310" i="1"/>
  <c r="K319" i="1"/>
  <c r="K328" i="1"/>
  <c r="K338" i="1"/>
  <c r="K347" i="1"/>
  <c r="I27" i="1"/>
  <c r="I36" i="1"/>
  <c r="I45" i="1"/>
  <c r="I54" i="1"/>
  <c r="I63" i="1"/>
  <c r="I72" i="1"/>
  <c r="I82" i="1"/>
  <c r="I91" i="1"/>
  <c r="I100" i="1"/>
  <c r="I109" i="1"/>
  <c r="I118" i="1"/>
  <c r="I127" i="1"/>
  <c r="I136" i="1"/>
  <c r="I146" i="1"/>
  <c r="I155" i="1"/>
  <c r="I164" i="1"/>
  <c r="I173" i="1"/>
  <c r="I182" i="1"/>
  <c r="I191" i="1"/>
  <c r="I200" i="1"/>
  <c r="I210" i="1"/>
  <c r="I219" i="1"/>
  <c r="I228" i="1"/>
  <c r="I237" i="1"/>
  <c r="I246" i="1"/>
  <c r="I255" i="1"/>
  <c r="I264" i="1"/>
  <c r="I274" i="1"/>
  <c r="I283" i="1"/>
  <c r="I292" i="1"/>
  <c r="L63" i="1"/>
  <c r="L72" i="1"/>
  <c r="L82" i="1"/>
  <c r="L91" i="1"/>
  <c r="L100" i="1"/>
  <c r="L109" i="1"/>
  <c r="L118" i="1"/>
  <c r="L127" i="1"/>
  <c r="L136" i="1"/>
  <c r="L146" i="1"/>
  <c r="L155" i="1"/>
  <c r="L164" i="1"/>
  <c r="L173" i="1"/>
  <c r="L182" i="1"/>
  <c r="L191" i="1"/>
  <c r="L200" i="1"/>
  <c r="L210" i="1"/>
  <c r="L219" i="1"/>
  <c r="L228" i="1"/>
  <c r="L237" i="1"/>
  <c r="L246" i="1"/>
  <c r="L255" i="1"/>
  <c r="L264" i="1"/>
  <c r="L274" i="1"/>
  <c r="L283" i="1"/>
  <c r="L292" i="1"/>
  <c r="L301" i="1"/>
  <c r="L36" i="1"/>
  <c r="L45" i="1"/>
  <c r="L54" i="1"/>
  <c r="M54" i="1"/>
  <c r="M63" i="1"/>
  <c r="M72" i="1"/>
  <c r="M82" i="1"/>
  <c r="M91" i="1"/>
  <c r="M100" i="1"/>
  <c r="M109" i="1"/>
  <c r="M118" i="1"/>
  <c r="M127" i="1"/>
  <c r="M136" i="1"/>
  <c r="M146" i="1"/>
  <c r="M155" i="1"/>
  <c r="M164" i="1"/>
  <c r="M173" i="1"/>
  <c r="M182" i="1"/>
  <c r="M191" i="1"/>
  <c r="M200" i="1"/>
  <c r="M210" i="1"/>
  <c r="M219" i="1"/>
  <c r="M228" i="1"/>
  <c r="M237" i="1"/>
  <c r="M246" i="1"/>
  <c r="M255" i="1"/>
  <c r="M264" i="1"/>
  <c r="M274" i="1"/>
  <c r="M283" i="1"/>
  <c r="M292" i="1"/>
  <c r="M301" i="1"/>
  <c r="M310" i="1"/>
  <c r="M319" i="1"/>
  <c r="M328" i="1"/>
  <c r="BF7" i="5"/>
  <c r="BC7" i="5"/>
  <c r="AV95" i="5"/>
  <c r="AT95" i="5"/>
  <c r="AT87" i="5"/>
  <c r="AV87" i="5"/>
  <c r="AV79" i="5"/>
  <c r="AT79" i="5"/>
  <c r="AT71" i="5"/>
  <c r="AV71" i="5"/>
  <c r="AV63" i="5"/>
  <c r="AT63" i="5"/>
  <c r="AT55" i="5"/>
  <c r="AV55" i="5"/>
  <c r="AV47" i="5"/>
  <c r="AT47" i="5"/>
  <c r="AT39" i="5"/>
  <c r="AV39" i="5"/>
  <c r="AV31" i="5"/>
  <c r="AT31" i="5"/>
  <c r="AT23" i="5"/>
  <c r="AV23" i="5"/>
  <c r="AV15" i="5"/>
  <c r="AT15" i="5"/>
  <c r="AQ97" i="5"/>
  <c r="AQ95" i="5"/>
  <c r="AQ89" i="5"/>
  <c r="AQ87" i="5"/>
  <c r="AQ81" i="5"/>
  <c r="AQ79" i="5"/>
  <c r="AQ73" i="5"/>
  <c r="AQ71" i="5"/>
  <c r="AQ65" i="5"/>
  <c r="AQ63" i="5"/>
  <c r="AQ57" i="5"/>
  <c r="AQ55" i="5"/>
  <c r="AQ49" i="5"/>
  <c r="AQ47" i="5"/>
  <c r="AQ41" i="5"/>
  <c r="AQ39" i="5"/>
  <c r="AQ33" i="5"/>
  <c r="AQ31" i="5"/>
  <c r="AQ25" i="5"/>
  <c r="AQ23" i="5"/>
  <c r="AQ17" i="5"/>
  <c r="AQ15" i="5"/>
  <c r="AO97" i="5"/>
  <c r="AO95" i="5"/>
  <c r="AO89" i="5"/>
  <c r="AO87" i="5"/>
  <c r="AO81" i="5"/>
  <c r="AO79" i="5"/>
  <c r="AO73" i="5"/>
  <c r="AO71" i="5"/>
  <c r="AO65" i="5"/>
  <c r="AO63" i="5"/>
  <c r="AO57" i="5"/>
  <c r="AO55" i="5"/>
  <c r="AO49" i="5"/>
  <c r="AO47" i="5"/>
  <c r="AO41" i="5"/>
  <c r="AO39" i="5"/>
  <c r="AO33" i="5"/>
  <c r="AO31" i="5"/>
  <c r="AO25" i="5"/>
  <c r="AO23" i="5"/>
  <c r="AO17" i="5"/>
  <c r="AO15" i="5"/>
  <c r="AQ9" i="5"/>
  <c r="AO9" i="5"/>
  <c r="AV7" i="5"/>
  <c r="AT7" i="5"/>
  <c r="AQ7" i="5"/>
  <c r="AO7" i="5"/>
  <c r="AJ95" i="5"/>
  <c r="AH95" i="5"/>
  <c r="AH87" i="5"/>
  <c r="AJ87" i="5"/>
  <c r="AJ79" i="5"/>
  <c r="AH79" i="5"/>
  <c r="AH71" i="5"/>
  <c r="AJ71" i="5"/>
  <c r="AJ63" i="5"/>
  <c r="AH63" i="5"/>
  <c r="AH55" i="5"/>
  <c r="AJ55" i="5"/>
  <c r="AJ47" i="5"/>
  <c r="AH47" i="5"/>
  <c r="AH39" i="5"/>
  <c r="AJ39" i="5"/>
  <c r="AJ31" i="5"/>
  <c r="AH31" i="5"/>
  <c r="AJ23" i="5"/>
  <c r="AH23" i="5"/>
  <c r="AJ15" i="5"/>
  <c r="AH15" i="5"/>
  <c r="AE97" i="5"/>
  <c r="AE95" i="5"/>
  <c r="AE89" i="5"/>
  <c r="AE87" i="5"/>
  <c r="AE81" i="5"/>
  <c r="AE79" i="5"/>
  <c r="AE73" i="5"/>
  <c r="AE71" i="5"/>
  <c r="AE65" i="5"/>
  <c r="AE63" i="5"/>
  <c r="AE57" i="5"/>
  <c r="AE55" i="5"/>
  <c r="AE49" i="5"/>
  <c r="AE47" i="5"/>
  <c r="AE41" i="5"/>
  <c r="AE39" i="5"/>
  <c r="AE33" i="5"/>
  <c r="AE31" i="5"/>
  <c r="AE25" i="5"/>
  <c r="AE23" i="5"/>
  <c r="AE17" i="5"/>
  <c r="AE15" i="5"/>
  <c r="AC105" i="5"/>
  <c r="AC103" i="5"/>
  <c r="AC97" i="5"/>
  <c r="AC95" i="5"/>
  <c r="AC89" i="5"/>
  <c r="AC87" i="5"/>
  <c r="AC81" i="5"/>
  <c r="AC79" i="5"/>
  <c r="AC73" i="5"/>
  <c r="AC71" i="5"/>
  <c r="AC65" i="5"/>
  <c r="AC63" i="5"/>
  <c r="AC57" i="5"/>
  <c r="AC55" i="5"/>
  <c r="AC49" i="5"/>
  <c r="AC47" i="5"/>
  <c r="AC41" i="5"/>
  <c r="AC39" i="5"/>
  <c r="AC33" i="5"/>
  <c r="AC31" i="5"/>
  <c r="AC25" i="5"/>
  <c r="AC23" i="5"/>
  <c r="AC17" i="5"/>
  <c r="AC15" i="5"/>
  <c r="AE9" i="5"/>
  <c r="AC9" i="5"/>
  <c r="AJ7" i="5"/>
  <c r="AH7" i="5"/>
  <c r="AE7" i="5"/>
  <c r="AC7" i="5"/>
  <c r="V95" i="5"/>
  <c r="X95" i="5"/>
  <c r="X87" i="5"/>
  <c r="V87" i="5"/>
  <c r="V79" i="5"/>
  <c r="X79" i="5"/>
  <c r="X71" i="5"/>
  <c r="V71" i="5"/>
  <c r="X63" i="5"/>
  <c r="V63" i="5"/>
  <c r="X55" i="5"/>
  <c r="V55" i="5"/>
  <c r="X47" i="5"/>
  <c r="V47" i="5"/>
  <c r="X39" i="5"/>
  <c r="V39" i="5"/>
  <c r="X31" i="5"/>
  <c r="V31" i="5"/>
  <c r="X23" i="5"/>
  <c r="V23" i="5"/>
  <c r="V15" i="5"/>
  <c r="X15" i="5"/>
  <c r="S97" i="5"/>
  <c r="S89" i="5"/>
  <c r="S81" i="5"/>
  <c r="S73" i="5"/>
  <c r="S65" i="5"/>
  <c r="S57" i="5"/>
  <c r="S49" i="5"/>
  <c r="S41" i="5"/>
  <c r="S33" i="5"/>
  <c r="S25" i="5"/>
  <c r="S17" i="5"/>
  <c r="Q97" i="5"/>
  <c r="Q89" i="5"/>
  <c r="Q81" i="5"/>
  <c r="Q73" i="5"/>
  <c r="Q65" i="5"/>
  <c r="Q57" i="5"/>
  <c r="Q49" i="5"/>
  <c r="Q41" i="5"/>
  <c r="Q33" i="5"/>
  <c r="Q25" i="5"/>
  <c r="Q17" i="5"/>
  <c r="S9" i="5"/>
  <c r="Q9" i="5"/>
  <c r="X7" i="5"/>
  <c r="V7" i="5"/>
  <c r="S7" i="5"/>
  <c r="Q7" i="5"/>
  <c r="L103" i="5"/>
  <c r="J103" i="5"/>
  <c r="L95" i="5"/>
  <c r="J95" i="5"/>
  <c r="L87" i="5"/>
  <c r="J87" i="5"/>
  <c r="L79" i="5"/>
  <c r="J79" i="5"/>
  <c r="L71" i="5"/>
  <c r="J71" i="5"/>
  <c r="L63" i="5"/>
  <c r="J63" i="5"/>
  <c r="L55" i="5"/>
  <c r="J55" i="5"/>
  <c r="L47" i="5"/>
  <c r="J47" i="5"/>
  <c r="L39" i="5"/>
  <c r="J39" i="5"/>
  <c r="L31" i="5"/>
  <c r="J31" i="5"/>
  <c r="L23" i="5"/>
  <c r="J23" i="5"/>
  <c r="L15" i="5"/>
  <c r="J15" i="5"/>
  <c r="G105" i="5"/>
  <c r="G97" i="5"/>
  <c r="G89" i="5"/>
  <c r="G81" i="5"/>
  <c r="G73" i="5"/>
  <c r="G65" i="5"/>
  <c r="G57" i="5"/>
  <c r="G49" i="5"/>
  <c r="G41" i="5"/>
  <c r="G33" i="5"/>
  <c r="G25" i="5"/>
  <c r="G17" i="5"/>
  <c r="E105" i="5"/>
  <c r="E103" i="5"/>
  <c r="E97" i="5"/>
  <c r="E89" i="5"/>
  <c r="E81" i="5"/>
  <c r="E73" i="5"/>
  <c r="E65" i="5"/>
  <c r="E57" i="5"/>
  <c r="E49" i="5"/>
  <c r="E41" i="5"/>
  <c r="E33" i="5"/>
  <c r="E17" i="5"/>
  <c r="E25" i="5"/>
  <c r="BT79" i="5"/>
  <c r="BT87" i="5"/>
  <c r="BT95" i="5"/>
  <c r="BT97" i="5"/>
  <c r="BR79" i="5"/>
  <c r="BR87" i="5"/>
  <c r="BR95" i="5"/>
  <c r="BR97" i="5"/>
  <c r="BO25" i="5"/>
  <c r="BO33" i="5"/>
  <c r="BO41" i="5"/>
  <c r="BO49" i="5"/>
  <c r="BO57" i="5"/>
  <c r="BO65" i="5"/>
  <c r="BO73" i="5"/>
  <c r="BO81" i="5"/>
  <c r="BO89" i="5"/>
  <c r="BO97" i="5"/>
  <c r="BM81" i="5"/>
  <c r="BM89" i="5"/>
  <c r="BM97" i="5"/>
  <c r="S15" i="5"/>
  <c r="S23" i="5"/>
  <c r="BO23" i="5"/>
  <c r="BO31" i="5"/>
  <c r="BO39" i="5"/>
  <c r="BO47" i="5"/>
  <c r="BO55" i="5"/>
  <c r="BO63" i="5"/>
  <c r="BO71" i="5"/>
  <c r="BO79" i="5"/>
  <c r="BO87" i="5"/>
  <c r="BO95" i="5"/>
  <c r="BM79" i="5"/>
  <c r="BM87" i="5"/>
  <c r="BM95" i="5"/>
  <c r="BT89" i="5"/>
  <c r="BR89" i="5"/>
  <c r="BT81" i="5"/>
  <c r="BR81" i="5"/>
  <c r="BC25" i="5"/>
  <c r="BC33" i="5"/>
  <c r="BC41" i="5"/>
  <c r="BC49" i="5"/>
  <c r="BC57" i="5"/>
  <c r="BC65" i="5"/>
  <c r="BC73" i="5"/>
  <c r="BC81" i="5"/>
  <c r="BC89" i="5"/>
  <c r="BC97" i="5"/>
  <c r="BA97" i="5"/>
  <c r="BH95" i="5"/>
  <c r="BF95" i="5"/>
  <c r="BA89" i="5"/>
  <c r="BH87" i="5"/>
  <c r="BF87" i="5"/>
  <c r="BA81" i="5"/>
  <c r="BH79" i="5"/>
  <c r="BF79" i="5"/>
  <c r="BH97" i="5"/>
  <c r="BF97" i="5"/>
  <c r="BC79" i="5"/>
  <c r="BC87" i="5"/>
  <c r="BC95" i="5"/>
  <c r="BA79" i="5"/>
  <c r="BA87" i="5"/>
  <c r="BA95" i="5"/>
  <c r="BH89" i="5"/>
  <c r="BF89" i="5"/>
  <c r="BH81" i="5"/>
  <c r="BF81" i="5"/>
  <c r="BT55" i="5"/>
  <c r="BT63" i="5"/>
  <c r="BT71" i="5"/>
  <c r="BT73" i="5"/>
  <c r="BR63" i="5"/>
  <c r="BR71" i="5"/>
  <c r="BR73" i="5"/>
  <c r="BM57" i="5"/>
  <c r="BM65" i="5"/>
  <c r="BM73" i="5"/>
  <c r="BM55" i="5"/>
  <c r="BM63" i="5"/>
  <c r="BM71" i="5"/>
  <c r="BT65" i="5"/>
  <c r="BR65" i="5"/>
  <c r="BT57" i="5"/>
  <c r="BR57" i="5"/>
  <c r="BH71" i="5"/>
  <c r="BF71" i="5"/>
  <c r="BA73" i="5"/>
  <c r="BA65" i="5"/>
  <c r="BH63" i="5"/>
  <c r="BF63" i="5"/>
  <c r="BC63" i="5"/>
  <c r="BA63" i="5"/>
  <c r="BA57" i="5"/>
  <c r="BH55" i="5"/>
  <c r="BH73" i="5"/>
  <c r="BF73" i="5"/>
  <c r="BC55" i="5"/>
  <c r="BC71" i="5"/>
  <c r="BA55" i="5"/>
  <c r="BA71" i="5"/>
  <c r="BH65" i="5"/>
  <c r="BF65" i="5"/>
  <c r="BH57" i="5"/>
  <c r="BF57" i="5"/>
  <c r="BT31" i="5"/>
  <c r="BT39" i="5"/>
  <c r="BT47" i="5"/>
  <c r="BT49" i="5"/>
  <c r="BR23" i="5"/>
  <c r="BR31" i="5"/>
  <c r="BR39" i="5"/>
  <c r="BR47" i="5"/>
  <c r="BR49" i="5"/>
  <c r="BM33" i="5"/>
  <c r="BM41" i="5"/>
  <c r="BM49" i="5"/>
  <c r="BM31" i="5"/>
  <c r="BM39" i="5"/>
  <c r="BM47" i="5"/>
  <c r="BT41" i="5"/>
  <c r="BR41" i="5"/>
  <c r="BT33" i="5"/>
  <c r="BR33" i="5"/>
  <c r="BA49" i="5"/>
  <c r="BA41" i="5"/>
  <c r="BA33" i="5"/>
  <c r="BH47" i="5"/>
  <c r="BF23" i="5"/>
  <c r="BF31" i="5"/>
  <c r="BF39" i="5"/>
  <c r="BF47" i="5"/>
  <c r="BH39" i="5"/>
  <c r="BH31" i="5"/>
  <c r="BH49" i="5"/>
  <c r="BF49" i="5"/>
  <c r="BC31" i="5"/>
  <c r="BC39" i="5"/>
  <c r="BC47" i="5"/>
  <c r="BA31" i="5"/>
  <c r="BA39" i="5"/>
  <c r="BA47" i="5"/>
  <c r="BH41" i="5"/>
  <c r="BF41" i="5"/>
  <c r="BH33" i="5"/>
  <c r="BF33" i="5"/>
  <c r="BT23" i="5"/>
  <c r="BT25" i="5"/>
  <c r="BR25" i="5"/>
  <c r="BM25" i="5"/>
  <c r="BH23" i="5"/>
  <c r="BH25" i="5"/>
  <c r="BF25" i="5"/>
  <c r="BA25" i="5"/>
  <c r="BM23" i="5"/>
  <c r="BC23" i="5"/>
  <c r="BA23" i="5"/>
  <c r="BT15" i="5"/>
  <c r="BM17" i="5"/>
  <c r="BM15" i="5"/>
  <c r="BH15" i="5"/>
  <c r="BA17" i="5"/>
  <c r="BA15" i="5"/>
  <c r="BT17" i="5"/>
  <c r="BR15" i="5"/>
  <c r="BR17" i="5"/>
  <c r="BO17" i="5"/>
  <c r="BH17" i="5"/>
  <c r="BF15" i="5"/>
  <c r="BF17" i="5"/>
  <c r="BC17" i="5"/>
  <c r="BO15" i="5"/>
  <c r="BC15" i="5"/>
  <c r="BT9" i="5"/>
  <c r="BR7" i="5"/>
  <c r="BR9" i="5"/>
  <c r="BO9" i="5"/>
  <c r="BO7" i="5"/>
  <c r="BH9" i="5"/>
  <c r="BF9" i="5"/>
  <c r="BC9" i="5"/>
  <c r="BJ6" i="6"/>
  <c r="V103" i="5"/>
  <c r="AH103" i="5"/>
  <c r="AT103" i="5"/>
  <c r="BF103" i="5"/>
  <c r="BR103" i="5"/>
  <c r="BH4" i="6"/>
  <c r="BH6" i="6"/>
  <c r="BJ4" i="6"/>
  <c r="BE6" i="6"/>
  <c r="BE4" i="6"/>
  <c r="BC6" i="6"/>
  <c r="BC4" i="6"/>
  <c r="BA6" i="8"/>
  <c r="AY4" i="8"/>
  <c r="AY6" i="8"/>
  <c r="BA4" i="8"/>
  <c r="AV6" i="8"/>
  <c r="AV4" i="8"/>
  <c r="AT6" i="8"/>
  <c r="AT4" i="8"/>
  <c r="BA6" i="9"/>
  <c r="AY4" i="9"/>
  <c r="AY6" i="9"/>
  <c r="BA4" i="9"/>
  <c r="AV6" i="9"/>
  <c r="AV4" i="9"/>
  <c r="AT6" i="9"/>
  <c r="AT4" i="9"/>
  <c r="BA6" i="7"/>
  <c r="AY4" i="7"/>
  <c r="AY6" i="7"/>
  <c r="BA4" i="7"/>
  <c r="AV6" i="7"/>
  <c r="AV4" i="7"/>
  <c r="AT6" i="7"/>
  <c r="AT4" i="7"/>
  <c r="J45" i="1"/>
  <c r="J54" i="1"/>
  <c r="J63" i="1"/>
  <c r="J72" i="1"/>
  <c r="J82" i="1"/>
  <c r="J91" i="1"/>
  <c r="J100" i="1"/>
  <c r="J109" i="1"/>
  <c r="J118" i="1"/>
  <c r="J127" i="1"/>
  <c r="J136" i="1"/>
  <c r="J146" i="1"/>
  <c r="J155" i="1"/>
  <c r="J164" i="1"/>
  <c r="J173" i="1"/>
  <c r="J182" i="1"/>
  <c r="J191" i="1"/>
  <c r="J200" i="1"/>
  <c r="J210" i="1"/>
  <c r="J219" i="1"/>
  <c r="J228" i="1"/>
  <c r="J237" i="1"/>
  <c r="J246" i="1"/>
  <c r="J255" i="1"/>
  <c r="J264" i="1"/>
  <c r="J274" i="1"/>
  <c r="J283" i="1"/>
  <c r="J292" i="1"/>
  <c r="J301" i="1"/>
  <c r="J310" i="1"/>
  <c r="J319" i="1"/>
  <c r="AS34" i="6"/>
  <c r="AS38" i="6"/>
  <c r="AS39" i="6"/>
  <c r="BM113" i="5"/>
  <c r="BM111" i="5"/>
  <c r="BO113" i="5"/>
  <c r="BO111" i="5"/>
  <c r="BO105" i="5"/>
  <c r="BO103" i="5"/>
  <c r="BR113" i="5"/>
  <c r="BT105" i="5"/>
  <c r="BR105" i="5"/>
  <c r="BF105" i="5"/>
  <c r="AT113" i="5"/>
  <c r="AT111" i="5"/>
  <c r="X103" i="5"/>
  <c r="AJ103" i="5"/>
  <c r="AV103" i="5"/>
  <c r="AV105" i="5"/>
  <c r="AT105" i="5"/>
  <c r="AQ111" i="5"/>
  <c r="S105" i="5"/>
  <c r="AE105" i="5"/>
  <c r="AQ105" i="5"/>
  <c r="AQ113" i="5"/>
  <c r="Q105" i="5"/>
  <c r="AO105" i="5"/>
  <c r="AO113" i="5"/>
  <c r="Q103" i="5"/>
  <c r="AO103" i="5"/>
  <c r="AO111" i="5"/>
  <c r="AQ103" i="5"/>
  <c r="AH113" i="5"/>
  <c r="AH111" i="5"/>
  <c r="AJ105" i="5"/>
  <c r="AH105" i="5"/>
  <c r="AE113" i="5"/>
  <c r="AC113" i="5"/>
  <c r="AE111" i="5"/>
  <c r="AC111" i="5"/>
  <c r="AE103" i="5"/>
  <c r="S103" i="5"/>
  <c r="V111" i="5"/>
  <c r="V113" i="5"/>
  <c r="X105" i="5"/>
  <c r="V105" i="5"/>
  <c r="G113" i="5"/>
  <c r="S113" i="5"/>
  <c r="E113" i="5"/>
  <c r="Q113" i="5"/>
  <c r="S111" i="5"/>
  <c r="Q111" i="5"/>
  <c r="J113" i="5"/>
  <c r="L105" i="5"/>
  <c r="J105" i="5"/>
  <c r="G111" i="5"/>
  <c r="E111" i="5"/>
  <c r="BA113" i="5"/>
  <c r="BC111" i="5"/>
  <c r="BA111" i="5"/>
  <c r="BF113" i="5"/>
  <c r="BH105" i="5"/>
  <c r="C65" i="8"/>
  <c r="C59" i="8"/>
  <c r="C53" i="8"/>
  <c r="C47" i="8"/>
  <c r="C41" i="8"/>
  <c r="C35" i="8"/>
  <c r="C29" i="8"/>
  <c r="C23" i="8"/>
  <c r="C17" i="8"/>
  <c r="C11" i="8"/>
  <c r="B38" i="9"/>
  <c r="B16" i="7"/>
  <c r="B14" i="7"/>
  <c r="AQ8" i="9"/>
  <c r="AM8" i="9"/>
  <c r="AJ8" i="9"/>
  <c r="AG8" i="9"/>
  <c r="AD8" i="9"/>
  <c r="AA8" i="9"/>
  <c r="X8" i="9"/>
  <c r="U8" i="9"/>
  <c r="R8" i="9"/>
  <c r="O8" i="9"/>
  <c r="L8" i="9"/>
  <c r="I8" i="9"/>
  <c r="F8" i="9"/>
  <c r="AP8" i="9"/>
  <c r="AL8" i="9"/>
  <c r="AI8" i="9"/>
  <c r="AF8" i="9"/>
  <c r="AC8" i="9"/>
  <c r="Z8" i="9"/>
  <c r="W8" i="9"/>
  <c r="T8" i="9"/>
  <c r="Q8" i="9"/>
  <c r="N8" i="9"/>
  <c r="K8" i="9"/>
  <c r="H8" i="9"/>
  <c r="E8" i="9"/>
  <c r="AP9" i="9"/>
  <c r="AL9" i="9"/>
  <c r="AI9" i="9"/>
  <c r="AF9" i="9"/>
  <c r="AC9" i="9"/>
  <c r="Z9" i="9"/>
  <c r="W9" i="9"/>
  <c r="T9" i="9"/>
  <c r="Q9" i="9"/>
  <c r="N9" i="9"/>
  <c r="K9" i="9"/>
  <c r="H9" i="9"/>
  <c r="E9" i="9"/>
  <c r="AP28" i="9"/>
  <c r="AP29" i="9"/>
  <c r="AP30" i="9"/>
  <c r="AP32" i="9"/>
  <c r="AP34" i="9"/>
  <c r="AP35" i="9"/>
  <c r="AL13" i="9"/>
  <c r="AL14" i="9"/>
  <c r="AL16" i="9"/>
  <c r="AL17" i="9"/>
  <c r="AL18" i="9"/>
  <c r="AL19" i="9"/>
  <c r="AL20" i="9"/>
  <c r="AL21" i="9"/>
  <c r="AI13" i="9"/>
  <c r="AI14" i="9"/>
  <c r="AI16" i="9"/>
  <c r="AI17" i="9"/>
  <c r="AI18" i="9"/>
  <c r="AI19" i="9"/>
  <c r="AI20" i="9"/>
  <c r="AI21" i="9"/>
  <c r="AF13" i="9"/>
  <c r="AF14" i="9"/>
  <c r="AF16" i="9"/>
  <c r="AF17" i="9"/>
  <c r="AF18" i="9"/>
  <c r="AF19" i="9"/>
  <c r="AF20" i="9"/>
  <c r="AF21" i="9"/>
  <c r="AC13" i="9"/>
  <c r="AC14" i="9"/>
  <c r="AC16" i="9"/>
  <c r="AC17" i="9"/>
  <c r="AC18" i="9"/>
  <c r="AC19" i="9"/>
  <c r="AC20" i="9"/>
  <c r="AC21" i="9"/>
  <c r="Z13" i="9"/>
  <c r="Z14" i="9"/>
  <c r="Z15" i="9"/>
  <c r="Z16" i="9"/>
  <c r="Z17" i="9"/>
  <c r="Z18" i="9"/>
  <c r="Z19" i="9"/>
  <c r="Z20" i="9"/>
  <c r="Z21" i="9"/>
  <c r="W13" i="9"/>
  <c r="W14" i="9"/>
  <c r="W15" i="9"/>
  <c r="W16" i="9"/>
  <c r="W17" i="9"/>
  <c r="W18" i="9"/>
  <c r="W19" i="9"/>
  <c r="W20" i="9"/>
  <c r="W21" i="9"/>
  <c r="T13" i="9"/>
  <c r="T14" i="9"/>
  <c r="T15" i="9"/>
  <c r="T16" i="9"/>
  <c r="T17" i="9"/>
  <c r="T18" i="9"/>
  <c r="T19" i="9"/>
  <c r="T20" i="9"/>
  <c r="T21" i="9"/>
  <c r="Q13" i="9"/>
  <c r="Q14" i="9"/>
  <c r="Q15" i="9"/>
  <c r="Q16" i="9"/>
  <c r="Q17" i="9"/>
  <c r="Q18" i="9"/>
  <c r="Q19" i="9"/>
  <c r="Q20" i="9"/>
  <c r="Q21" i="9"/>
  <c r="N13" i="9"/>
  <c r="N14" i="9"/>
  <c r="N15" i="9"/>
  <c r="N16" i="9"/>
  <c r="N17" i="9"/>
  <c r="N18" i="9"/>
  <c r="N19" i="9"/>
  <c r="N20" i="9"/>
  <c r="N21" i="9"/>
  <c r="K13" i="9"/>
  <c r="K14" i="9"/>
  <c r="K15" i="9"/>
  <c r="K16" i="9"/>
  <c r="K17" i="9"/>
  <c r="K18" i="9"/>
  <c r="K19" i="9"/>
  <c r="K20" i="9"/>
  <c r="K21" i="9"/>
  <c r="H13" i="9"/>
  <c r="H14" i="9"/>
  <c r="H15" i="9"/>
  <c r="H16" i="9"/>
  <c r="H17" i="9"/>
  <c r="H18" i="9"/>
  <c r="H19" i="9"/>
  <c r="H20" i="9"/>
  <c r="H21" i="9"/>
  <c r="E13" i="9"/>
  <c r="E14" i="9"/>
  <c r="E15" i="9"/>
  <c r="E16" i="9"/>
  <c r="E17" i="9"/>
  <c r="E18" i="9"/>
  <c r="E19" i="9"/>
  <c r="E20" i="9"/>
  <c r="E21" i="9"/>
  <c r="AL13" i="8"/>
  <c r="AL19" i="8"/>
  <c r="AL31" i="8"/>
  <c r="AL33" i="8"/>
  <c r="AL37" i="8"/>
  <c r="AL43" i="8"/>
  <c r="AL49" i="8"/>
  <c r="AL55" i="8"/>
  <c r="AL61" i="8"/>
  <c r="AP38" i="8"/>
  <c r="AI13" i="8"/>
  <c r="AI19" i="8"/>
  <c r="AI31" i="8"/>
  <c r="AI37" i="8"/>
  <c r="AI43" i="8"/>
  <c r="AI49" i="8"/>
  <c r="AI55" i="8"/>
  <c r="AI61" i="8"/>
  <c r="AP44" i="8"/>
  <c r="AF13" i="8"/>
  <c r="AF19" i="8"/>
  <c r="AF21" i="8"/>
  <c r="AF31" i="8"/>
  <c r="AF37" i="8"/>
  <c r="AF43" i="8"/>
  <c r="AF49" i="8"/>
  <c r="AF55" i="8"/>
  <c r="AF61" i="8"/>
  <c r="AC13" i="8"/>
  <c r="AC19" i="8"/>
  <c r="AC31" i="8"/>
  <c r="AC33" i="8"/>
  <c r="AC37" i="8"/>
  <c r="AC43" i="8"/>
  <c r="AC45" i="8"/>
  <c r="AC49" i="8"/>
  <c r="AC55" i="8"/>
  <c r="AC61" i="8"/>
  <c r="AC63" i="8"/>
  <c r="AC39" i="8"/>
  <c r="Z13" i="8"/>
  <c r="Z19" i="8"/>
  <c r="Z21" i="8"/>
  <c r="Z31" i="8"/>
  <c r="Z37" i="8"/>
  <c r="Z43" i="8"/>
  <c r="Z49" i="8"/>
  <c r="Z55" i="8"/>
  <c r="Z61" i="8"/>
  <c r="W13" i="8"/>
  <c r="W19" i="8"/>
  <c r="W31" i="8"/>
  <c r="W37" i="8"/>
  <c r="W43" i="8"/>
  <c r="W49" i="8"/>
  <c r="W55" i="8"/>
  <c r="W61" i="8"/>
  <c r="T13" i="8"/>
  <c r="T19" i="8"/>
  <c r="T21" i="8"/>
  <c r="T31" i="8"/>
  <c r="T37" i="8"/>
  <c r="T43" i="8"/>
  <c r="T45" i="8"/>
  <c r="T49" i="8"/>
  <c r="T55" i="8"/>
  <c r="T61" i="8"/>
  <c r="T33" i="8"/>
  <c r="Q13" i="8"/>
  <c r="Q15" i="8"/>
  <c r="Q19" i="8"/>
  <c r="Q31" i="8"/>
  <c r="Q37" i="8"/>
  <c r="Q43" i="8"/>
  <c r="Q49" i="8"/>
  <c r="Q55" i="8"/>
  <c r="Q61" i="8"/>
  <c r="N13" i="8"/>
  <c r="N19" i="8"/>
  <c r="N21" i="8"/>
  <c r="N31" i="8"/>
  <c r="N37" i="8"/>
  <c r="N43" i="8"/>
  <c r="N49" i="8"/>
  <c r="N55" i="8"/>
  <c r="N61" i="8"/>
  <c r="N63" i="8"/>
  <c r="N57" i="8"/>
  <c r="K13" i="8"/>
  <c r="K19" i="8"/>
  <c r="K21" i="8"/>
  <c r="K31" i="8"/>
  <c r="K37" i="8"/>
  <c r="K43" i="8"/>
  <c r="K49" i="8"/>
  <c r="K55" i="8"/>
  <c r="K61" i="8"/>
  <c r="K57" i="8"/>
  <c r="AP62" i="8"/>
  <c r="H13" i="8"/>
  <c r="H19" i="8"/>
  <c r="H31" i="8"/>
  <c r="H37" i="8"/>
  <c r="H43" i="8"/>
  <c r="H49" i="8"/>
  <c r="H55" i="8"/>
  <c r="H61" i="8"/>
  <c r="AP14" i="8"/>
  <c r="E13" i="8"/>
  <c r="E19" i="8"/>
  <c r="E21" i="8"/>
  <c r="E27" i="8"/>
  <c r="E31" i="8"/>
  <c r="E33" i="8"/>
  <c r="E37" i="8"/>
  <c r="E39" i="8"/>
  <c r="E43" i="8"/>
  <c r="E49" i="8"/>
  <c r="E51" i="8"/>
  <c r="E55" i="8"/>
  <c r="E61" i="8"/>
  <c r="C68" i="8"/>
  <c r="C62" i="8"/>
  <c r="C56" i="8"/>
  <c r="C50" i="8"/>
  <c r="C44" i="8"/>
  <c r="C38" i="8"/>
  <c r="C32" i="8"/>
  <c r="C26" i="8"/>
  <c r="C20" i="8"/>
  <c r="C14" i="8"/>
  <c r="C66" i="8"/>
  <c r="C60" i="8"/>
  <c r="C54" i="8"/>
  <c r="C48" i="8"/>
  <c r="C42" i="8"/>
  <c r="C36" i="8"/>
  <c r="C30" i="8"/>
  <c r="C24" i="8"/>
  <c r="C18" i="8"/>
  <c r="C19" i="8"/>
  <c r="C67" i="8"/>
  <c r="C61" i="8"/>
  <c r="C55" i="8"/>
  <c r="C49" i="8"/>
  <c r="C43" i="8"/>
  <c r="C37" i="8"/>
  <c r="C31" i="8"/>
  <c r="C25" i="8"/>
  <c r="C13" i="8"/>
  <c r="C12" i="8"/>
  <c r="B14" i="8"/>
  <c r="B20" i="8"/>
  <c r="B32" i="8"/>
  <c r="B38" i="8"/>
  <c r="B44" i="8"/>
  <c r="B50" i="8"/>
  <c r="B56" i="8"/>
  <c r="B62" i="8"/>
  <c r="B68" i="8"/>
  <c r="B26" i="8"/>
  <c r="B13" i="8"/>
  <c r="B66" i="8"/>
  <c r="B60" i="8"/>
  <c r="B54" i="8"/>
  <c r="B48" i="8"/>
  <c r="B42" i="8"/>
  <c r="B36" i="8"/>
  <c r="B30" i="8"/>
  <c r="B24" i="8"/>
  <c r="B18" i="8"/>
  <c r="B12" i="8"/>
  <c r="AP50" i="8"/>
  <c r="AP16" i="9"/>
  <c r="AP17" i="9"/>
  <c r="AP18" i="9"/>
  <c r="AP19" i="9"/>
  <c r="B19" i="8"/>
  <c r="B25" i="8"/>
  <c r="B31" i="8"/>
  <c r="B37" i="8"/>
  <c r="B43" i="8"/>
  <c r="B49" i="8"/>
  <c r="B55" i="8"/>
  <c r="B61" i="8"/>
  <c r="B67" i="8"/>
  <c r="AL63" i="8"/>
  <c r="AL57" i="8"/>
  <c r="AL51" i="8"/>
  <c r="AL15" i="8"/>
  <c r="AI63" i="8"/>
  <c r="AI57" i="8"/>
  <c r="AI51" i="8"/>
  <c r="AI39" i="8"/>
  <c r="AI33" i="8"/>
  <c r="AF57" i="8"/>
  <c r="AF51" i="8"/>
  <c r="AF45" i="8"/>
  <c r="AF39" i="8"/>
  <c r="AF33" i="8"/>
  <c r="AF15" i="8"/>
  <c r="AC57" i="8"/>
  <c r="AC21" i="8"/>
  <c r="AC15" i="8"/>
  <c r="Z66" i="8"/>
  <c r="Z63" i="8"/>
  <c r="Z57" i="8"/>
  <c r="Z51" i="8"/>
  <c r="Z39" i="8"/>
  <c r="Z33" i="8"/>
  <c r="Z15" i="8"/>
  <c r="W66" i="8"/>
  <c r="W57" i="8"/>
  <c r="W51" i="8"/>
  <c r="W45" i="8"/>
  <c r="W39" i="8"/>
  <c r="W33" i="8"/>
  <c r="W27" i="8"/>
  <c r="W15" i="8"/>
  <c r="T66" i="8"/>
  <c r="T63" i="8"/>
  <c r="T57" i="8"/>
  <c r="T51" i="8"/>
  <c r="T27" i="8"/>
  <c r="T15" i="8"/>
  <c r="Q66" i="8"/>
  <c r="Q63" i="8"/>
  <c r="Q57" i="8"/>
  <c r="Q51" i="8"/>
  <c r="Q39" i="8"/>
  <c r="Q33" i="8"/>
  <c r="N66" i="8"/>
  <c r="N51" i="8"/>
  <c r="N45" i="8"/>
  <c r="N39" i="8"/>
  <c r="N33" i="8"/>
  <c r="N27" i="8"/>
  <c r="N15" i="8"/>
  <c r="K66" i="8"/>
  <c r="K51" i="8"/>
  <c r="K45" i="8"/>
  <c r="K27" i="8"/>
  <c r="K15" i="8"/>
  <c r="H66" i="8"/>
  <c r="H63" i="8"/>
  <c r="H57" i="8"/>
  <c r="H51" i="8"/>
  <c r="H45" i="8"/>
  <c r="H39" i="8"/>
  <c r="H27" i="8"/>
  <c r="H21" i="8"/>
  <c r="E66" i="8"/>
  <c r="E63" i="8"/>
  <c r="AP60" i="8"/>
  <c r="E57" i="8"/>
  <c r="AP55" i="8"/>
  <c r="AP54" i="8"/>
  <c r="AP48" i="8"/>
  <c r="AP42" i="8"/>
  <c r="AP37" i="8"/>
  <c r="AP36" i="8"/>
  <c r="AP30" i="8"/>
  <c r="AP18" i="8"/>
  <c r="AP13" i="8"/>
  <c r="AP12" i="8"/>
  <c r="B7" i="9"/>
  <c r="B7" i="8"/>
  <c r="E15" i="8"/>
  <c r="AP9" i="8"/>
  <c r="AL9" i="8"/>
  <c r="AI9" i="8"/>
  <c r="AF9" i="8"/>
  <c r="AC9" i="8"/>
  <c r="Z9" i="8"/>
  <c r="W9" i="8"/>
  <c r="T9" i="8"/>
  <c r="Q9" i="8"/>
  <c r="N9" i="8"/>
  <c r="K9" i="8"/>
  <c r="H9" i="8"/>
  <c r="E9" i="8"/>
  <c r="AP8" i="8"/>
  <c r="AL8" i="8"/>
  <c r="AI8" i="8"/>
  <c r="AF8" i="8"/>
  <c r="AC8" i="8"/>
  <c r="Z8" i="8"/>
  <c r="W8" i="8"/>
  <c r="T8" i="8"/>
  <c r="Q8" i="8"/>
  <c r="N8" i="8"/>
  <c r="K8" i="8"/>
  <c r="H8" i="8"/>
  <c r="E8" i="8"/>
  <c r="F8" i="8"/>
  <c r="I8" i="8"/>
  <c r="L8" i="8"/>
  <c r="O8" i="8"/>
  <c r="R8" i="8"/>
  <c r="U8" i="8"/>
  <c r="X8" i="8"/>
  <c r="AA8" i="8"/>
  <c r="AD8" i="8"/>
  <c r="AG8" i="8"/>
  <c r="AJ8" i="8"/>
  <c r="AM8" i="8"/>
  <c r="AQ8" i="8"/>
  <c r="B6" i="9"/>
  <c r="B6" i="8"/>
  <c r="B4" i="9"/>
  <c r="B3" i="9"/>
  <c r="B2" i="9"/>
  <c r="B4" i="8"/>
  <c r="B3" i="8"/>
  <c r="B2" i="8"/>
  <c r="H6" i="9"/>
  <c r="K6" i="9"/>
  <c r="N6" i="9"/>
  <c r="Q6" i="9"/>
  <c r="T6" i="9"/>
  <c r="W6" i="9"/>
  <c r="Z6" i="9"/>
  <c r="AC6" i="9"/>
  <c r="AF6" i="9"/>
  <c r="AI6" i="9"/>
  <c r="AL6" i="9"/>
  <c r="AP6" i="9"/>
  <c r="H6" i="8"/>
  <c r="K6" i="8"/>
  <c r="N6" i="8"/>
  <c r="Q6" i="8"/>
  <c r="T6" i="8"/>
  <c r="W6" i="8"/>
  <c r="Z6" i="8"/>
  <c r="AC6" i="8"/>
  <c r="AF6" i="8"/>
  <c r="AI6" i="8"/>
  <c r="AL6" i="8"/>
  <c r="AP6" i="8"/>
  <c r="B10" i="7"/>
  <c r="E82" i="1"/>
  <c r="E91" i="1"/>
  <c r="E100" i="1"/>
  <c r="E109" i="1"/>
  <c r="E118" i="1"/>
  <c r="E127" i="1"/>
  <c r="E136" i="1"/>
  <c r="AP9" i="7"/>
  <c r="AL9" i="7"/>
  <c r="AI9" i="7"/>
  <c r="AF9" i="7"/>
  <c r="AC9" i="7"/>
  <c r="Z9" i="7"/>
  <c r="W9" i="7"/>
  <c r="T9" i="7"/>
  <c r="Q9" i="7"/>
  <c r="N9" i="7"/>
  <c r="K9" i="7"/>
  <c r="AO9" i="7"/>
  <c r="AK9" i="7"/>
  <c r="AH9" i="7"/>
  <c r="AE9" i="7"/>
  <c r="AB9" i="7"/>
  <c r="Y9" i="7"/>
  <c r="V9" i="7"/>
  <c r="S9" i="7"/>
  <c r="P9" i="7"/>
  <c r="M9" i="7"/>
  <c r="J9" i="7"/>
  <c r="G9" i="7"/>
  <c r="D9" i="7"/>
  <c r="E9" i="7"/>
  <c r="K13" i="7"/>
  <c r="Q13" i="7"/>
  <c r="T13" i="7"/>
  <c r="Z13" i="7"/>
  <c r="AC13" i="7"/>
  <c r="AI13" i="7"/>
  <c r="AL13" i="7"/>
  <c r="AH6" i="7"/>
  <c r="AO8" i="7"/>
  <c r="AK8" i="7"/>
  <c r="AH8" i="7"/>
  <c r="AE8" i="7"/>
  <c r="AB8" i="7"/>
  <c r="Y8" i="7"/>
  <c r="V8" i="7"/>
  <c r="S8" i="7"/>
  <c r="P8" i="7"/>
  <c r="M8" i="7"/>
  <c r="J8" i="7"/>
  <c r="G8" i="7"/>
  <c r="D8" i="7"/>
  <c r="B7" i="7"/>
  <c r="B7" i="14"/>
  <c r="B6" i="7"/>
  <c r="B13" i="7"/>
  <c r="B12" i="7"/>
  <c r="B11" i="7"/>
  <c r="B4" i="7"/>
  <c r="B4" i="14"/>
  <c r="B3" i="7"/>
  <c r="B3" i="15"/>
  <c r="B2" i="7"/>
  <c r="B2" i="15"/>
  <c r="AO6" i="7"/>
  <c r="G6" i="7"/>
  <c r="J6" i="7"/>
  <c r="M6" i="7"/>
  <c r="P6" i="7"/>
  <c r="S6" i="7"/>
  <c r="V6" i="7"/>
  <c r="Y6" i="7"/>
  <c r="AB6" i="7"/>
  <c r="AE6" i="7"/>
  <c r="AK6" i="7"/>
  <c r="AT106" i="5"/>
  <c r="V106" i="5"/>
  <c r="J90" i="5"/>
  <c r="BR90" i="5"/>
  <c r="J82" i="5"/>
  <c r="BR82" i="5"/>
  <c r="J74" i="5"/>
  <c r="BF74" i="5"/>
  <c r="J66" i="5"/>
  <c r="BF66" i="5"/>
  <c r="J58" i="5"/>
  <c r="BF58" i="5"/>
  <c r="J50" i="5"/>
  <c r="BR50" i="5"/>
  <c r="J42" i="5"/>
  <c r="BR42" i="5"/>
  <c r="J34" i="5"/>
  <c r="BF34" i="5"/>
  <c r="J26" i="5"/>
  <c r="BR26" i="5"/>
  <c r="J18" i="5"/>
  <c r="BR18" i="5"/>
  <c r="J10" i="5"/>
  <c r="BR10" i="5"/>
  <c r="B4" i="1"/>
  <c r="B3" i="1"/>
  <c r="B2" i="1"/>
  <c r="AV97" i="5"/>
  <c r="AT97" i="5"/>
  <c r="AV89" i="5"/>
  <c r="AT89" i="5"/>
  <c r="AV81" i="5"/>
  <c r="AT81" i="5"/>
  <c r="AV73" i="5"/>
  <c r="AT73" i="5"/>
  <c r="AV65" i="5"/>
  <c r="AT65" i="5"/>
  <c r="AV57" i="5"/>
  <c r="AT57" i="5"/>
  <c r="AV49" i="5"/>
  <c r="AT49" i="5"/>
  <c r="AV41" i="5"/>
  <c r="AT41" i="5"/>
  <c r="AV33" i="5"/>
  <c r="AT33" i="5"/>
  <c r="AV25" i="5"/>
  <c r="AT25" i="5"/>
  <c r="AV17" i="5"/>
  <c r="AT17" i="5"/>
  <c r="AV9" i="5"/>
  <c r="AT9" i="5"/>
  <c r="AJ97" i="5"/>
  <c r="AH97" i="5"/>
  <c r="AJ89" i="5"/>
  <c r="AH89" i="5"/>
  <c r="AJ81" i="5"/>
  <c r="AH81" i="5"/>
  <c r="AJ73" i="5"/>
  <c r="AH73" i="5"/>
  <c r="AJ65" i="5"/>
  <c r="AH65" i="5"/>
  <c r="AJ57" i="5"/>
  <c r="AH57" i="5"/>
  <c r="AJ49" i="5"/>
  <c r="AH49" i="5"/>
  <c r="AJ41" i="5"/>
  <c r="AH41" i="5"/>
  <c r="AJ33" i="5"/>
  <c r="AH33" i="5"/>
  <c r="AJ25" i="5"/>
  <c r="AH25" i="5"/>
  <c r="AJ17" i="5"/>
  <c r="AH17" i="5"/>
  <c r="AJ9" i="5"/>
  <c r="AH9" i="5"/>
  <c r="X97" i="5"/>
  <c r="V97" i="5"/>
  <c r="X89" i="5"/>
  <c r="V89" i="5"/>
  <c r="X81" i="5"/>
  <c r="V81" i="5"/>
  <c r="X73" i="5"/>
  <c r="V73" i="5"/>
  <c r="X65" i="5"/>
  <c r="V65" i="5"/>
  <c r="X57" i="5"/>
  <c r="V57" i="5"/>
  <c r="X49" i="5"/>
  <c r="V49" i="5"/>
  <c r="X41" i="5"/>
  <c r="V41" i="5"/>
  <c r="X33" i="5"/>
  <c r="V33" i="5"/>
  <c r="X25" i="5"/>
  <c r="V25" i="5"/>
  <c r="S31" i="5"/>
  <c r="S39" i="5"/>
  <c r="S47" i="5"/>
  <c r="S55" i="5"/>
  <c r="S63" i="5"/>
  <c r="S71" i="5"/>
  <c r="S79" i="5"/>
  <c r="S87" i="5"/>
  <c r="S95" i="5"/>
  <c r="Q15" i="5"/>
  <c r="Q23" i="5"/>
  <c r="Q31" i="5"/>
  <c r="Q39" i="5"/>
  <c r="Q47" i="5"/>
  <c r="Q55" i="5"/>
  <c r="Q63" i="5"/>
  <c r="Q71" i="5"/>
  <c r="Q79" i="5"/>
  <c r="Q87" i="5"/>
  <c r="Q95" i="5"/>
  <c r="X17" i="5"/>
  <c r="V17" i="5"/>
  <c r="X9" i="5"/>
  <c r="V9" i="5"/>
  <c r="G15" i="5"/>
  <c r="G23" i="5"/>
  <c r="G31" i="5"/>
  <c r="G39" i="5"/>
  <c r="G47" i="5"/>
  <c r="G55" i="5"/>
  <c r="G63" i="5"/>
  <c r="G71" i="5"/>
  <c r="G79" i="5"/>
  <c r="G87" i="5"/>
  <c r="G95" i="5"/>
  <c r="E15" i="5"/>
  <c r="E23" i="5"/>
  <c r="E31" i="5"/>
  <c r="E39" i="5"/>
  <c r="E47" i="5"/>
  <c r="E55" i="5"/>
  <c r="E63" i="5"/>
  <c r="E71" i="5"/>
  <c r="E79" i="5"/>
  <c r="E87" i="5"/>
  <c r="E95" i="5"/>
  <c r="B4" i="3"/>
  <c r="B3" i="3"/>
  <c r="B2" i="3"/>
  <c r="C391" i="1"/>
  <c r="C390" i="1"/>
  <c r="C389" i="1"/>
  <c r="C388" i="1"/>
  <c r="C387" i="1"/>
  <c r="C386" i="1"/>
  <c r="C385" i="1"/>
  <c r="C382" i="1"/>
  <c r="C381" i="1"/>
  <c r="C380" i="1"/>
  <c r="C379" i="1"/>
  <c r="C378" i="1"/>
  <c r="C377" i="1"/>
  <c r="C376" i="1"/>
  <c r="C373" i="1"/>
  <c r="C372" i="1"/>
  <c r="C371" i="1"/>
  <c r="C370" i="1"/>
  <c r="C369" i="1"/>
  <c r="C368" i="1"/>
  <c r="C367" i="1"/>
  <c r="C364" i="1"/>
  <c r="C363" i="1"/>
  <c r="C362" i="1"/>
  <c r="C361" i="1"/>
  <c r="C360" i="1"/>
  <c r="C359" i="1"/>
  <c r="C358" i="1"/>
  <c r="C355" i="1"/>
  <c r="C354" i="1"/>
  <c r="C353" i="1"/>
  <c r="C352" i="1"/>
  <c r="C351" i="1"/>
  <c r="C350" i="1"/>
  <c r="C349" i="1"/>
  <c r="C346" i="1"/>
  <c r="C345" i="1"/>
  <c r="C344" i="1"/>
  <c r="C343" i="1"/>
  <c r="C342" i="1"/>
  <c r="C341" i="1"/>
  <c r="C340" i="1"/>
  <c r="C337" i="1"/>
  <c r="C336" i="1"/>
  <c r="C335" i="1"/>
  <c r="C334" i="1"/>
  <c r="C333" i="1"/>
  <c r="C332" i="1"/>
  <c r="C331" i="1"/>
  <c r="C327" i="1"/>
  <c r="C326" i="1"/>
  <c r="C325" i="1"/>
  <c r="C324" i="1"/>
  <c r="C323" i="1"/>
  <c r="C322" i="1"/>
  <c r="C321" i="1"/>
  <c r="C318" i="1"/>
  <c r="C317" i="1"/>
  <c r="C316" i="1"/>
  <c r="C315" i="1"/>
  <c r="C314" i="1"/>
  <c r="C313" i="1"/>
  <c r="C312" i="1"/>
  <c r="C309" i="1"/>
  <c r="C308" i="1"/>
  <c r="C307" i="1"/>
  <c r="C306" i="1"/>
  <c r="C305" i="1"/>
  <c r="C304" i="1"/>
  <c r="C303" i="1"/>
  <c r="C300" i="1"/>
  <c r="C299" i="1"/>
  <c r="C298" i="1"/>
  <c r="C297" i="1"/>
  <c r="C296" i="1"/>
  <c r="C295" i="1"/>
  <c r="C294" i="1"/>
  <c r="C291" i="1"/>
  <c r="C290" i="1"/>
  <c r="C289" i="1"/>
  <c r="C288" i="1"/>
  <c r="C287" i="1"/>
  <c r="C286" i="1"/>
  <c r="C285" i="1"/>
  <c r="C282" i="1"/>
  <c r="C281" i="1"/>
  <c r="C280" i="1"/>
  <c r="C279" i="1"/>
  <c r="C278" i="1"/>
  <c r="C277" i="1"/>
  <c r="C276" i="1"/>
  <c r="C273" i="1"/>
  <c r="C272" i="1"/>
  <c r="C271" i="1"/>
  <c r="C270" i="1"/>
  <c r="C269" i="1"/>
  <c r="C268" i="1"/>
  <c r="C267" i="1"/>
  <c r="C263" i="1"/>
  <c r="C262" i="1"/>
  <c r="C261" i="1"/>
  <c r="C260" i="1"/>
  <c r="C259" i="1"/>
  <c r="C258" i="1"/>
  <c r="C257" i="1"/>
  <c r="C254" i="1"/>
  <c r="C253" i="1"/>
  <c r="C252" i="1"/>
  <c r="C251" i="1"/>
  <c r="C250" i="1"/>
  <c r="C249" i="1"/>
  <c r="C248" i="1"/>
  <c r="C245" i="1"/>
  <c r="C244" i="1"/>
  <c r="C243" i="1"/>
  <c r="C242" i="1"/>
  <c r="C241" i="1"/>
  <c r="C240" i="1"/>
  <c r="C239" i="1"/>
  <c r="C236" i="1"/>
  <c r="C235" i="1"/>
  <c r="C234" i="1"/>
  <c r="C233" i="1"/>
  <c r="C232" i="1"/>
  <c r="C231" i="1"/>
  <c r="C230" i="1"/>
  <c r="C227" i="1"/>
  <c r="C226" i="1"/>
  <c r="C225" i="1"/>
  <c r="C224" i="1"/>
  <c r="C223" i="1"/>
  <c r="C222" i="1"/>
  <c r="C221" i="1"/>
  <c r="C218" i="1"/>
  <c r="C217" i="1"/>
  <c r="C216" i="1"/>
  <c r="C215" i="1"/>
  <c r="C214" i="1"/>
  <c r="C213" i="1"/>
  <c r="C212" i="1"/>
  <c r="C209" i="1"/>
  <c r="C208" i="1"/>
  <c r="C207" i="1"/>
  <c r="C206" i="1"/>
  <c r="C205" i="1"/>
  <c r="C204" i="1"/>
  <c r="C203" i="1"/>
  <c r="C199" i="1"/>
  <c r="C198" i="1"/>
  <c r="C197" i="1"/>
  <c r="C196" i="1"/>
  <c r="C195" i="1"/>
  <c r="C194" i="1"/>
  <c r="C193" i="1"/>
  <c r="C190" i="1"/>
  <c r="C189" i="1"/>
  <c r="C188" i="1"/>
  <c r="C187" i="1"/>
  <c r="C186" i="1"/>
  <c r="C185" i="1"/>
  <c r="C184" i="1"/>
  <c r="C181" i="1"/>
  <c r="C180" i="1"/>
  <c r="C179" i="1"/>
  <c r="C178" i="1"/>
  <c r="C177" i="1"/>
  <c r="C176" i="1"/>
  <c r="C175" i="1"/>
  <c r="C172" i="1"/>
  <c r="C171" i="1"/>
  <c r="C170" i="1"/>
  <c r="C169" i="1"/>
  <c r="C168" i="1"/>
  <c r="C167" i="1"/>
  <c r="C166" i="1"/>
  <c r="C163" i="1"/>
  <c r="C162" i="1"/>
  <c r="C161" i="1"/>
  <c r="C160" i="1"/>
  <c r="C159" i="1"/>
  <c r="C158" i="1"/>
  <c r="C157" i="1"/>
  <c r="C154" i="1"/>
  <c r="C153" i="1"/>
  <c r="C152" i="1"/>
  <c r="C151" i="1"/>
  <c r="C150" i="1"/>
  <c r="C149" i="1"/>
  <c r="C148" i="1"/>
  <c r="C145" i="1"/>
  <c r="C144" i="1"/>
  <c r="C143" i="1"/>
  <c r="C142" i="1"/>
  <c r="C141" i="1"/>
  <c r="C140" i="1"/>
  <c r="C139" i="1"/>
  <c r="C135" i="1"/>
  <c r="C134" i="1"/>
  <c r="C133" i="1"/>
  <c r="C132" i="1"/>
  <c r="C131" i="1"/>
  <c r="C130" i="1"/>
  <c r="C129" i="1"/>
  <c r="C126" i="1"/>
  <c r="C125" i="1"/>
  <c r="C124" i="1"/>
  <c r="C123" i="1"/>
  <c r="C122" i="1"/>
  <c r="C121" i="1"/>
  <c r="C120" i="1"/>
  <c r="C117" i="1"/>
  <c r="C116" i="1"/>
  <c r="C115" i="1"/>
  <c r="C114" i="1"/>
  <c r="C113" i="1"/>
  <c r="C112" i="1"/>
  <c r="C111" i="1"/>
  <c r="C108" i="1"/>
  <c r="C107" i="1"/>
  <c r="C106" i="1"/>
  <c r="C105" i="1"/>
  <c r="C104" i="1"/>
  <c r="C103" i="1"/>
  <c r="C102" i="1"/>
  <c r="C99" i="1"/>
  <c r="C98" i="1"/>
  <c r="C97" i="1"/>
  <c r="C96" i="1"/>
  <c r="C95" i="1"/>
  <c r="C94" i="1"/>
  <c r="C93" i="1"/>
  <c r="C90" i="1"/>
  <c r="C89" i="1"/>
  <c r="C88" i="1"/>
  <c r="C87" i="1"/>
  <c r="C86" i="1"/>
  <c r="C85" i="1"/>
  <c r="C84" i="1"/>
  <c r="C81" i="1"/>
  <c r="C80" i="1"/>
  <c r="C79" i="1"/>
  <c r="C78" i="1"/>
  <c r="C77" i="1"/>
  <c r="C76" i="1"/>
  <c r="C75" i="1"/>
  <c r="C71" i="1"/>
  <c r="C70" i="1"/>
  <c r="C69" i="1"/>
  <c r="C68" i="1"/>
  <c r="C67" i="1"/>
  <c r="C66" i="1"/>
  <c r="C65" i="1"/>
  <c r="C62" i="1"/>
  <c r="C61" i="1"/>
  <c r="C60" i="1"/>
  <c r="C59" i="1"/>
  <c r="C58" i="1"/>
  <c r="C57" i="1"/>
  <c r="C56" i="1"/>
  <c r="C53" i="1"/>
  <c r="C52" i="1"/>
  <c r="C51" i="1"/>
  <c r="C50" i="1"/>
  <c r="C49" i="1"/>
  <c r="C48" i="1"/>
  <c r="C47" i="1"/>
  <c r="C44" i="1"/>
  <c r="C43" i="1"/>
  <c r="C42" i="1"/>
  <c r="C41" i="1"/>
  <c r="C40" i="1"/>
  <c r="C39" i="1"/>
  <c r="C38" i="1"/>
  <c r="C35" i="1"/>
  <c r="C34" i="1"/>
  <c r="C33" i="1"/>
  <c r="C32" i="1"/>
  <c r="C31" i="1"/>
  <c r="C30" i="1"/>
  <c r="C29" i="1"/>
  <c r="C26" i="1"/>
  <c r="C25" i="1"/>
  <c r="C24" i="1"/>
  <c r="C23" i="1"/>
  <c r="C22" i="1"/>
  <c r="C21" i="1"/>
  <c r="C20" i="1"/>
  <c r="L97" i="5"/>
  <c r="J97" i="5"/>
  <c r="L89" i="5"/>
  <c r="J89" i="5"/>
  <c r="L81" i="5"/>
  <c r="J81" i="5"/>
  <c r="L73" i="5"/>
  <c r="J73" i="5"/>
  <c r="L65" i="5"/>
  <c r="J65" i="5"/>
  <c r="L57" i="5"/>
  <c r="J57" i="5"/>
  <c r="L49" i="5"/>
  <c r="J49" i="5"/>
  <c r="L41" i="5"/>
  <c r="J41" i="5"/>
  <c r="L33" i="5"/>
  <c r="J33" i="5"/>
  <c r="L25" i="5"/>
  <c r="J25" i="5"/>
  <c r="L17" i="5"/>
  <c r="J17" i="5"/>
  <c r="AL9" i="6"/>
  <c r="AI9" i="6"/>
  <c r="AF9" i="6"/>
  <c r="AC9" i="6"/>
  <c r="Z9" i="6"/>
  <c r="W9" i="6"/>
  <c r="T9" i="6"/>
  <c r="Q9" i="6"/>
  <c r="N9" i="6"/>
  <c r="K9" i="6"/>
  <c r="H9" i="6"/>
  <c r="E9" i="6"/>
  <c r="AL8" i="6"/>
  <c r="AI8" i="6"/>
  <c r="AF8" i="6"/>
  <c r="AC8" i="6"/>
  <c r="Z8" i="6"/>
  <c r="W8" i="6"/>
  <c r="T8" i="6"/>
  <c r="Q8" i="6"/>
  <c r="N8" i="6"/>
  <c r="K8" i="6"/>
  <c r="H8" i="6"/>
  <c r="E8" i="6"/>
  <c r="L27" i="1"/>
  <c r="M34" i="6"/>
  <c r="J34" i="6"/>
  <c r="AY22" i="6"/>
  <c r="AY23" i="6"/>
  <c r="AS9" i="6"/>
  <c r="L9" i="6"/>
  <c r="O9" i="6"/>
  <c r="R9" i="6"/>
  <c r="U9" i="6"/>
  <c r="X9" i="6"/>
  <c r="AA9" i="6"/>
  <c r="AD9" i="6"/>
  <c r="AG9" i="6"/>
  <c r="AJ9" i="6"/>
  <c r="AM9" i="6"/>
  <c r="AQ9" i="6"/>
  <c r="I9" i="6"/>
  <c r="AS8" i="6"/>
  <c r="I8" i="6"/>
  <c r="L8" i="6"/>
  <c r="O8" i="6"/>
  <c r="R8" i="6"/>
  <c r="U8" i="6"/>
  <c r="X8" i="6"/>
  <c r="AA8" i="6"/>
  <c r="AD8" i="6"/>
  <c r="AG8" i="6"/>
  <c r="AJ8" i="6"/>
  <c r="AM8" i="6"/>
  <c r="AQ8" i="6"/>
  <c r="AT8" i="6"/>
  <c r="AT7" i="6"/>
  <c r="H6" i="6"/>
  <c r="K6" i="6"/>
  <c r="N6" i="6"/>
  <c r="Q6" i="6"/>
  <c r="T6" i="6"/>
  <c r="W6" i="6"/>
  <c r="Z6" i="6"/>
  <c r="AC6" i="6"/>
  <c r="AF6" i="6"/>
  <c r="AI6" i="6"/>
  <c r="AL6" i="6"/>
  <c r="AP6" i="6"/>
  <c r="AS6" i="6"/>
  <c r="J9" i="5"/>
  <c r="L9" i="5"/>
  <c r="O55" i="1"/>
  <c r="O46" i="1"/>
  <c r="O37" i="1"/>
  <c r="O28" i="1"/>
  <c r="N55" i="1"/>
  <c r="N46" i="1"/>
  <c r="N37" i="1"/>
  <c r="N28" i="1"/>
  <c r="N19" i="1"/>
  <c r="N10" i="1"/>
  <c r="M55" i="1"/>
  <c r="M46" i="1"/>
  <c r="L55" i="1"/>
  <c r="L46" i="1"/>
  <c r="L37" i="1"/>
  <c r="L28" i="1"/>
  <c r="K339" i="1"/>
  <c r="K330" i="1"/>
  <c r="K320" i="1"/>
  <c r="K311" i="1"/>
  <c r="K302" i="1"/>
  <c r="J55" i="1"/>
  <c r="J46" i="1"/>
  <c r="J37" i="1"/>
  <c r="I55" i="1"/>
  <c r="I46" i="1"/>
  <c r="I37" i="1"/>
  <c r="I28" i="1"/>
  <c r="I19" i="1"/>
  <c r="H330" i="1"/>
  <c r="H320" i="1"/>
  <c r="H311" i="1"/>
  <c r="H302" i="1"/>
  <c r="H293" i="1"/>
  <c r="H55" i="1"/>
  <c r="G147" i="1"/>
  <c r="G64" i="1"/>
  <c r="G55" i="1"/>
  <c r="G46" i="1"/>
  <c r="G37" i="1"/>
  <c r="F55" i="1"/>
  <c r="F46" i="1"/>
  <c r="F37" i="1"/>
  <c r="F28" i="1"/>
  <c r="F19" i="1"/>
  <c r="F10" i="1"/>
  <c r="E356" i="1"/>
  <c r="E64" i="1"/>
  <c r="E55" i="1"/>
  <c r="E46" i="1"/>
  <c r="E37" i="1"/>
  <c r="E28" i="1"/>
  <c r="E19" i="1"/>
  <c r="E10" i="1"/>
  <c r="D55" i="1"/>
  <c r="D46" i="1"/>
  <c r="E383" i="1"/>
  <c r="E374" i="1"/>
  <c r="E347" i="1"/>
  <c r="E338" i="1"/>
  <c r="D7" i="2"/>
  <c r="E7" i="2"/>
  <c r="F7" i="2"/>
  <c r="G7" i="2"/>
  <c r="H7" i="2"/>
  <c r="I7" i="2"/>
  <c r="J7" i="2"/>
  <c r="K7" i="2"/>
  <c r="L7" i="2"/>
  <c r="M7" i="2"/>
  <c r="N7" i="2"/>
  <c r="O7" i="2"/>
  <c r="P7" i="2"/>
  <c r="O17" i="2"/>
  <c r="O16" i="2"/>
  <c r="O15" i="2"/>
  <c r="O14" i="2"/>
  <c r="O13" i="2"/>
  <c r="O12" i="2"/>
  <c r="O11" i="2"/>
  <c r="N17" i="2"/>
  <c r="N16" i="2"/>
  <c r="N15" i="2"/>
  <c r="N14" i="2"/>
  <c r="N13" i="2"/>
  <c r="N12" i="2"/>
  <c r="N11" i="2"/>
  <c r="M17" i="2"/>
  <c r="M16" i="2"/>
  <c r="M15" i="2"/>
  <c r="M14" i="2"/>
  <c r="M13" i="2"/>
  <c r="M12" i="2"/>
  <c r="M11" i="2"/>
  <c r="L17" i="2"/>
  <c r="L16" i="2"/>
  <c r="L15" i="2"/>
  <c r="L14" i="2"/>
  <c r="L13" i="2"/>
  <c r="L12" i="2"/>
  <c r="L11" i="2"/>
  <c r="K17" i="2"/>
  <c r="K16" i="2"/>
  <c r="K15" i="2"/>
  <c r="K14" i="2"/>
  <c r="K13" i="2"/>
  <c r="K12" i="2"/>
  <c r="K11" i="2"/>
  <c r="J17" i="2"/>
  <c r="J16" i="2"/>
  <c r="J15" i="2"/>
  <c r="J14" i="2"/>
  <c r="J13" i="2"/>
  <c r="J12" i="2"/>
  <c r="J11" i="2"/>
  <c r="I17" i="2"/>
  <c r="I16" i="2"/>
  <c r="I15" i="2"/>
  <c r="I14" i="2"/>
  <c r="I13" i="2"/>
  <c r="I12" i="2"/>
  <c r="I11" i="2"/>
  <c r="H17" i="2"/>
  <c r="H16" i="2"/>
  <c r="H15" i="2"/>
  <c r="H14" i="2"/>
  <c r="H13" i="2"/>
  <c r="H12" i="2"/>
  <c r="H11" i="2"/>
  <c r="G17" i="2"/>
  <c r="G16" i="2"/>
  <c r="G15" i="2"/>
  <c r="G14" i="2"/>
  <c r="G13" i="2"/>
  <c r="G12" i="2"/>
  <c r="G11" i="2"/>
  <c r="F17" i="2"/>
  <c r="F16" i="2"/>
  <c r="F15" i="2"/>
  <c r="F14" i="2"/>
  <c r="F13" i="2"/>
  <c r="F12" i="2"/>
  <c r="F11" i="2"/>
  <c r="E17" i="2"/>
  <c r="E16" i="2"/>
  <c r="E15" i="2"/>
  <c r="E14" i="2"/>
  <c r="E13" i="2"/>
  <c r="E12" i="2"/>
  <c r="E11" i="2"/>
  <c r="D13" i="2"/>
  <c r="D14" i="2"/>
  <c r="D15" i="2"/>
  <c r="D16" i="2"/>
  <c r="D17" i="2"/>
  <c r="D12" i="2"/>
  <c r="D11" i="2"/>
  <c r="N237" i="1"/>
  <c r="M338" i="1"/>
  <c r="M347" i="1"/>
  <c r="B4" i="2"/>
  <c r="B3" i="2"/>
  <c r="B2" i="2"/>
  <c r="H18" i="1"/>
  <c r="B330" i="1"/>
  <c r="B266" i="1"/>
  <c r="B202" i="1"/>
  <c r="B138" i="1"/>
  <c r="B74" i="1"/>
  <c r="B10" i="1"/>
  <c r="O8" i="1"/>
  <c r="O8" i="2"/>
  <c r="O9" i="2"/>
  <c r="N8" i="1"/>
  <c r="N8" i="2"/>
  <c r="N9" i="2"/>
  <c r="M8" i="1"/>
  <c r="M8" i="2"/>
  <c r="M9" i="2"/>
  <c r="L8" i="1"/>
  <c r="L8" i="2"/>
  <c r="L9" i="2"/>
  <c r="K8" i="1"/>
  <c r="K8" i="2"/>
  <c r="K9" i="2"/>
  <c r="J8" i="1"/>
  <c r="J8" i="2"/>
  <c r="J9" i="2"/>
  <c r="I8" i="1"/>
  <c r="I8" i="2"/>
  <c r="I9" i="2"/>
  <c r="H8" i="1"/>
  <c r="H8" i="2"/>
  <c r="H9" i="2"/>
  <c r="G8" i="1"/>
  <c r="G8" i="2"/>
  <c r="G9" i="2"/>
  <c r="F8" i="1"/>
  <c r="F8" i="2"/>
  <c r="F9" i="2"/>
  <c r="E8" i="1"/>
  <c r="E8" i="2"/>
  <c r="E9" i="2"/>
  <c r="D8" i="1"/>
  <c r="D8" i="2"/>
  <c r="D7" i="1"/>
  <c r="B8" i="1"/>
  <c r="B7" i="1"/>
  <c r="B7" i="2"/>
  <c r="O6" i="1"/>
  <c r="O6" i="2"/>
  <c r="N6" i="1"/>
  <c r="N6" i="2"/>
  <c r="M6" i="1"/>
  <c r="M6" i="2"/>
  <c r="L6" i="1"/>
  <c r="L6" i="2"/>
  <c r="K6" i="1"/>
  <c r="K6" i="2"/>
  <c r="J6" i="1"/>
  <c r="J6" i="2"/>
  <c r="I6" i="1"/>
  <c r="I6" i="2"/>
  <c r="H6" i="1"/>
  <c r="H6" i="2"/>
  <c r="G6" i="1"/>
  <c r="G6" i="2"/>
  <c r="F6" i="1"/>
  <c r="F6" i="2"/>
  <c r="E6" i="1"/>
  <c r="E6" i="2"/>
  <c r="D6" i="1"/>
  <c r="D6" i="2"/>
  <c r="O5" i="1"/>
  <c r="O5" i="2"/>
  <c r="N5" i="1"/>
  <c r="N5" i="2"/>
  <c r="M5" i="1"/>
  <c r="M5" i="2"/>
  <c r="L5" i="1"/>
  <c r="L5" i="2"/>
  <c r="K5" i="1"/>
  <c r="K5" i="2"/>
  <c r="J5" i="1"/>
  <c r="J5" i="2"/>
  <c r="I5" i="1"/>
  <c r="I5" i="2"/>
  <c r="H5" i="1"/>
  <c r="H5" i="2"/>
  <c r="G5" i="1"/>
  <c r="G5" i="2"/>
  <c r="F5" i="1"/>
  <c r="F5" i="2"/>
  <c r="E5" i="1"/>
  <c r="E5" i="2"/>
  <c r="D5" i="1"/>
  <c r="D5" i="2"/>
  <c r="C64" i="1"/>
  <c r="C55" i="1"/>
  <c r="C46" i="1"/>
  <c r="C37" i="1"/>
  <c r="C28" i="1"/>
  <c r="C19" i="1"/>
  <c r="C10" i="1"/>
  <c r="G319" i="1"/>
  <c r="F310" i="1"/>
  <c r="O302" i="1"/>
  <c r="O293" i="1"/>
  <c r="O284" i="1"/>
  <c r="O275" i="1"/>
  <c r="O266" i="1"/>
  <c r="O256" i="1"/>
  <c r="O247" i="1"/>
  <c r="O238" i="1"/>
  <c r="O229" i="1"/>
  <c r="O220" i="1"/>
  <c r="O211" i="1"/>
  <c r="O202" i="1"/>
  <c r="O192" i="1"/>
  <c r="O183" i="1"/>
  <c r="O174" i="1"/>
  <c r="O165" i="1"/>
  <c r="O156" i="1"/>
  <c r="O147" i="1"/>
  <c r="O138" i="1"/>
  <c r="O128" i="1"/>
  <c r="O119" i="1"/>
  <c r="O110" i="1"/>
  <c r="O101" i="1"/>
  <c r="O92" i="1"/>
  <c r="O83" i="1"/>
  <c r="O74" i="1"/>
  <c r="O64" i="1"/>
  <c r="N275" i="1"/>
  <c r="N266" i="1"/>
  <c r="N256" i="1"/>
  <c r="N247" i="1"/>
  <c r="N238" i="1"/>
  <c r="N229" i="1"/>
  <c r="N220" i="1"/>
  <c r="N211" i="1"/>
  <c r="N202" i="1"/>
  <c r="N192" i="1"/>
  <c r="N183" i="1"/>
  <c r="N174" i="1"/>
  <c r="N165" i="1"/>
  <c r="N156" i="1"/>
  <c r="N147" i="1"/>
  <c r="N138" i="1"/>
  <c r="N128" i="1"/>
  <c r="N119" i="1"/>
  <c r="N110" i="1"/>
  <c r="N101" i="1"/>
  <c r="N92" i="1"/>
  <c r="N83" i="1"/>
  <c r="N74" i="1"/>
  <c r="N64" i="1"/>
  <c r="M320" i="1"/>
  <c r="M311" i="1"/>
  <c r="M302" i="1"/>
  <c r="M293" i="1"/>
  <c r="M284" i="1"/>
  <c r="M275" i="1"/>
  <c r="M266" i="1"/>
  <c r="M256" i="1"/>
  <c r="M247" i="1"/>
  <c r="M238" i="1"/>
  <c r="M229" i="1"/>
  <c r="M220" i="1"/>
  <c r="M211" i="1"/>
  <c r="M202" i="1"/>
  <c r="M192" i="1"/>
  <c r="M183" i="1"/>
  <c r="M174" i="1"/>
  <c r="M165" i="1"/>
  <c r="M156" i="1"/>
  <c r="M147" i="1"/>
  <c r="M138" i="1"/>
  <c r="M128" i="1"/>
  <c r="M119" i="1"/>
  <c r="M110" i="1"/>
  <c r="M101" i="1"/>
  <c r="M92" i="1"/>
  <c r="M83" i="1"/>
  <c r="M74" i="1"/>
  <c r="M64" i="1"/>
  <c r="L293" i="1"/>
  <c r="L284" i="1"/>
  <c r="L275" i="1"/>
  <c r="L266" i="1"/>
  <c r="L256" i="1"/>
  <c r="L247" i="1"/>
  <c r="L238" i="1"/>
  <c r="L229" i="1"/>
  <c r="L220" i="1"/>
  <c r="L211" i="1"/>
  <c r="L202" i="1"/>
  <c r="L192" i="1"/>
  <c r="L183" i="1"/>
  <c r="L174" i="1"/>
  <c r="L165" i="1"/>
  <c r="L156" i="1"/>
  <c r="L147" i="1"/>
  <c r="L138" i="1"/>
  <c r="L128" i="1"/>
  <c r="L119" i="1"/>
  <c r="L110" i="1"/>
  <c r="L101" i="1"/>
  <c r="L92" i="1"/>
  <c r="L83" i="1"/>
  <c r="L74" i="1"/>
  <c r="L64" i="1"/>
  <c r="K293" i="1"/>
  <c r="K284" i="1"/>
  <c r="K275" i="1"/>
  <c r="K266" i="1"/>
  <c r="K256" i="1"/>
  <c r="K247" i="1"/>
  <c r="K238" i="1"/>
  <c r="K229" i="1"/>
  <c r="K220" i="1"/>
  <c r="K211" i="1"/>
  <c r="K202" i="1"/>
  <c r="K192" i="1"/>
  <c r="K183" i="1"/>
  <c r="K174" i="1"/>
  <c r="K165" i="1"/>
  <c r="K156" i="1"/>
  <c r="K147" i="1"/>
  <c r="K138" i="1"/>
  <c r="K128" i="1"/>
  <c r="K119" i="1"/>
  <c r="K110" i="1"/>
  <c r="K101" i="1"/>
  <c r="K92" i="1"/>
  <c r="K83" i="1"/>
  <c r="K74" i="1"/>
  <c r="K64" i="1"/>
  <c r="J311" i="1"/>
  <c r="J302" i="1"/>
  <c r="J293" i="1"/>
  <c r="J284" i="1"/>
  <c r="J275" i="1"/>
  <c r="J266" i="1"/>
  <c r="J256" i="1"/>
  <c r="J247" i="1"/>
  <c r="J238" i="1"/>
  <c r="J229" i="1"/>
  <c r="J220" i="1"/>
  <c r="J211" i="1"/>
  <c r="J202" i="1"/>
  <c r="J192" i="1"/>
  <c r="J183" i="1"/>
  <c r="J174" i="1"/>
  <c r="J165" i="1"/>
  <c r="J156" i="1"/>
  <c r="J147" i="1"/>
  <c r="J138" i="1"/>
  <c r="J128" i="1"/>
  <c r="J119" i="1"/>
  <c r="J110" i="1"/>
  <c r="J101" i="1"/>
  <c r="J92" i="1"/>
  <c r="J83" i="1"/>
  <c r="J74" i="1"/>
  <c r="J64" i="1"/>
  <c r="I284" i="1"/>
  <c r="I275" i="1"/>
  <c r="I266" i="1"/>
  <c r="I256" i="1"/>
  <c r="I247" i="1"/>
  <c r="I238" i="1"/>
  <c r="I229" i="1"/>
  <c r="I220" i="1"/>
  <c r="I211" i="1"/>
  <c r="I202" i="1"/>
  <c r="I192" i="1"/>
  <c r="I183" i="1"/>
  <c r="I174" i="1"/>
  <c r="I165" i="1"/>
  <c r="I156" i="1"/>
  <c r="I147" i="1"/>
  <c r="I138" i="1"/>
  <c r="I128" i="1"/>
  <c r="I119" i="1"/>
  <c r="I110" i="1"/>
  <c r="I101" i="1"/>
  <c r="I92" i="1"/>
  <c r="I83" i="1"/>
  <c r="I74" i="1"/>
  <c r="I64" i="1"/>
  <c r="H284" i="1"/>
  <c r="H275" i="1"/>
  <c r="H266" i="1"/>
  <c r="H256" i="1"/>
  <c r="H247" i="1"/>
  <c r="H238" i="1"/>
  <c r="H229" i="1"/>
  <c r="H220" i="1"/>
  <c r="H211" i="1"/>
  <c r="H202" i="1"/>
  <c r="H192" i="1"/>
  <c r="H183" i="1"/>
  <c r="H174" i="1"/>
  <c r="H165" i="1"/>
  <c r="H156" i="1"/>
  <c r="H147" i="1"/>
  <c r="H138" i="1"/>
  <c r="H128" i="1"/>
  <c r="H119" i="1"/>
  <c r="H110" i="1"/>
  <c r="H101" i="1"/>
  <c r="H92" i="1"/>
  <c r="H83" i="1"/>
  <c r="H74" i="1"/>
  <c r="H64" i="1"/>
  <c r="G302" i="1"/>
  <c r="G293" i="1"/>
  <c r="G284" i="1"/>
  <c r="G275" i="1"/>
  <c r="G266" i="1"/>
  <c r="G256" i="1"/>
  <c r="G247" i="1"/>
  <c r="G238" i="1"/>
  <c r="G229" i="1"/>
  <c r="G220" i="1"/>
  <c r="G211" i="1"/>
  <c r="G202" i="1"/>
  <c r="G192" i="1"/>
  <c r="G183" i="1"/>
  <c r="G174" i="1"/>
  <c r="G165" i="1"/>
  <c r="G156" i="1"/>
  <c r="G138" i="1"/>
  <c r="G128" i="1"/>
  <c r="G119" i="1"/>
  <c r="G110" i="1"/>
  <c r="G101" i="1"/>
  <c r="G92" i="1"/>
  <c r="G83" i="1"/>
  <c r="G74" i="1"/>
  <c r="F284" i="1"/>
  <c r="F275" i="1"/>
  <c r="F266" i="1"/>
  <c r="F256" i="1"/>
  <c r="F247" i="1"/>
  <c r="F238" i="1"/>
  <c r="F229" i="1"/>
  <c r="F220" i="1"/>
  <c r="F211" i="1"/>
  <c r="F202" i="1"/>
  <c r="F192" i="1"/>
  <c r="F183" i="1"/>
  <c r="F174" i="1"/>
  <c r="F165" i="1"/>
  <c r="F156" i="1"/>
  <c r="F147" i="1"/>
  <c r="F138" i="1"/>
  <c r="F128" i="1"/>
  <c r="F119" i="1"/>
  <c r="F110" i="1"/>
  <c r="F101" i="1"/>
  <c r="F92" i="1"/>
  <c r="F83" i="1"/>
  <c r="F74" i="1"/>
  <c r="F64" i="1"/>
  <c r="E256" i="1"/>
  <c r="E247" i="1"/>
  <c r="E238" i="1"/>
  <c r="E229" i="1"/>
  <c r="E220" i="1"/>
  <c r="E211" i="1"/>
  <c r="E202" i="1"/>
  <c r="E192" i="1"/>
  <c r="E183" i="1"/>
  <c r="E174" i="1"/>
  <c r="E165" i="1"/>
  <c r="E156" i="1"/>
  <c r="E147" i="1"/>
  <c r="E138" i="1"/>
  <c r="E128" i="1"/>
  <c r="E119" i="1"/>
  <c r="E110" i="1"/>
  <c r="E101" i="1"/>
  <c r="E92" i="1"/>
  <c r="E83" i="1"/>
  <c r="E74" i="1"/>
  <c r="D320" i="1"/>
  <c r="D311" i="1"/>
  <c r="D302" i="1"/>
  <c r="D293" i="1"/>
  <c r="D284" i="1"/>
  <c r="D275" i="1"/>
  <c r="D266" i="1"/>
  <c r="D256" i="1"/>
  <c r="D247" i="1"/>
  <c r="D238" i="1"/>
  <c r="D229" i="1"/>
  <c r="D220" i="1"/>
  <c r="D211" i="1"/>
  <c r="D202" i="1"/>
  <c r="D192" i="1"/>
  <c r="D183" i="1"/>
  <c r="D174" i="1"/>
  <c r="D165" i="1"/>
  <c r="D156" i="1"/>
  <c r="D147" i="1"/>
  <c r="D138" i="1"/>
  <c r="D128" i="1"/>
  <c r="D119" i="1"/>
  <c r="D110" i="1"/>
  <c r="D101" i="1"/>
  <c r="D92" i="1"/>
  <c r="D83" i="1"/>
  <c r="D74" i="1"/>
  <c r="D64" i="1"/>
  <c r="C22" i="3"/>
  <c r="C128" i="1"/>
  <c r="C21" i="3"/>
  <c r="C119" i="1"/>
  <c r="C20" i="3"/>
  <c r="C110" i="1"/>
  <c r="C19" i="3"/>
  <c r="C101" i="1"/>
  <c r="C18" i="3"/>
  <c r="C92" i="1"/>
  <c r="C25" i="3"/>
  <c r="C156" i="1"/>
  <c r="C17" i="3"/>
  <c r="C24" i="3"/>
  <c r="C16" i="3"/>
  <c r="C74" i="1"/>
  <c r="E7" i="3"/>
  <c r="F7" i="3"/>
  <c r="G7" i="3"/>
  <c r="H7" i="3"/>
  <c r="I7" i="3"/>
  <c r="J7" i="3"/>
  <c r="K7" i="3"/>
  <c r="L7" i="3"/>
  <c r="M7" i="3"/>
  <c r="N7" i="3"/>
  <c r="O7" i="3"/>
  <c r="E7" i="1"/>
  <c r="F7" i="1"/>
  <c r="G7" i="1"/>
  <c r="H7" i="1"/>
  <c r="I7" i="1"/>
  <c r="J7" i="1"/>
  <c r="K7" i="1"/>
  <c r="L7" i="1"/>
  <c r="M7" i="1"/>
  <c r="N7" i="1"/>
  <c r="O7" i="1"/>
  <c r="O18" i="1"/>
  <c r="O27" i="1"/>
  <c r="O36" i="1"/>
  <c r="O45" i="1"/>
  <c r="O54" i="1"/>
  <c r="O63" i="1"/>
  <c r="O72" i="1"/>
  <c r="O82" i="1"/>
  <c r="O91" i="1"/>
  <c r="O100" i="1"/>
  <c r="O109" i="1"/>
  <c r="O118" i="1"/>
  <c r="O127" i="1"/>
  <c r="O136" i="1"/>
  <c r="O146" i="1"/>
  <c r="O164" i="1"/>
  <c r="O173" i="1"/>
  <c r="O182" i="1"/>
  <c r="O191" i="1"/>
  <c r="O200" i="1"/>
  <c r="O210" i="1"/>
  <c r="O219" i="1"/>
  <c r="O228" i="1"/>
  <c r="O237" i="1"/>
  <c r="O246" i="1"/>
  <c r="O255" i="1"/>
  <c r="O264" i="1"/>
  <c r="O274" i="1"/>
  <c r="O283" i="1"/>
  <c r="O292" i="1"/>
  <c r="O301" i="1"/>
  <c r="O310" i="1"/>
  <c r="O319" i="1"/>
  <c r="O328" i="1"/>
  <c r="O338" i="1"/>
  <c r="O347" i="1"/>
  <c r="O356" i="1"/>
  <c r="O365" i="1"/>
  <c r="O374" i="1"/>
  <c r="O383" i="1"/>
  <c r="O392" i="1"/>
  <c r="N18" i="1"/>
  <c r="N27" i="1"/>
  <c r="N36" i="1"/>
  <c r="N45" i="1"/>
  <c r="N54" i="1"/>
  <c r="N63" i="1"/>
  <c r="N72" i="1"/>
  <c r="N82" i="1"/>
  <c r="N91" i="1"/>
  <c r="N100" i="1"/>
  <c r="N109" i="1"/>
  <c r="N118" i="1"/>
  <c r="N127" i="1"/>
  <c r="N136" i="1"/>
  <c r="N146" i="1"/>
  <c r="N155" i="1"/>
  <c r="N164" i="1"/>
  <c r="N173" i="1"/>
  <c r="N182" i="1"/>
  <c r="N191" i="1"/>
  <c r="N200" i="1"/>
  <c r="N210" i="1"/>
  <c r="N219" i="1"/>
  <c r="N228" i="1"/>
  <c r="N246" i="1"/>
  <c r="N255" i="1"/>
  <c r="N264" i="1"/>
  <c r="N274" i="1"/>
  <c r="N283" i="1"/>
  <c r="N292" i="1"/>
  <c r="N301" i="1"/>
  <c r="N310" i="1"/>
  <c r="N319" i="1"/>
  <c r="N328" i="1"/>
  <c r="N338" i="1"/>
  <c r="N347" i="1"/>
  <c r="N356" i="1"/>
  <c r="N365" i="1"/>
  <c r="N374" i="1"/>
  <c r="N383" i="1"/>
  <c r="N392" i="1"/>
  <c r="M18" i="1"/>
  <c r="M27" i="1"/>
  <c r="M36" i="1"/>
  <c r="M45" i="1"/>
  <c r="M356" i="1"/>
  <c r="M365" i="1"/>
  <c r="M374" i="1"/>
  <c r="M383" i="1"/>
  <c r="M392" i="1"/>
  <c r="L18" i="1"/>
  <c r="L310" i="1"/>
  <c r="L319" i="1"/>
  <c r="L328" i="1"/>
  <c r="L338" i="1"/>
  <c r="L347" i="1"/>
  <c r="L356" i="1"/>
  <c r="L365" i="1"/>
  <c r="L374" i="1"/>
  <c r="L383" i="1"/>
  <c r="L392" i="1"/>
  <c r="K18" i="1"/>
  <c r="K27" i="1"/>
  <c r="K36" i="1"/>
  <c r="K45" i="1"/>
  <c r="K54" i="1"/>
  <c r="K63" i="1"/>
  <c r="K356" i="1"/>
  <c r="K365" i="1"/>
  <c r="K374" i="1"/>
  <c r="K383" i="1"/>
  <c r="K392" i="1"/>
  <c r="J18" i="1"/>
  <c r="J27" i="1"/>
  <c r="J36" i="1"/>
  <c r="J328" i="1"/>
  <c r="J338" i="1"/>
  <c r="J347" i="1"/>
  <c r="J356" i="1"/>
  <c r="J365" i="1"/>
  <c r="J374" i="1"/>
  <c r="J383" i="1"/>
  <c r="J392" i="1"/>
  <c r="I18" i="1"/>
  <c r="I301" i="1"/>
  <c r="I310" i="1"/>
  <c r="I319" i="1"/>
  <c r="I328" i="1"/>
  <c r="I338" i="1"/>
  <c r="I347" i="1"/>
  <c r="I356" i="1"/>
  <c r="I365" i="1"/>
  <c r="I374" i="1"/>
  <c r="I383" i="1"/>
  <c r="I392" i="1"/>
  <c r="H27" i="1"/>
  <c r="H36" i="1"/>
  <c r="H45" i="1"/>
  <c r="H54" i="1"/>
  <c r="H63" i="1"/>
  <c r="H72" i="1"/>
  <c r="H82" i="1"/>
  <c r="H91" i="1"/>
  <c r="H100" i="1"/>
  <c r="H109" i="1"/>
  <c r="H118" i="1"/>
  <c r="H127" i="1"/>
  <c r="H136" i="1"/>
  <c r="H146" i="1"/>
  <c r="H155" i="1"/>
  <c r="H164" i="1"/>
  <c r="H173" i="1"/>
  <c r="H182" i="1"/>
  <c r="H191" i="1"/>
  <c r="H200" i="1"/>
  <c r="H210" i="1"/>
  <c r="H219" i="1"/>
  <c r="H228" i="1"/>
  <c r="H237" i="1"/>
  <c r="H246" i="1"/>
  <c r="H255" i="1"/>
  <c r="H264" i="1"/>
  <c r="H274" i="1"/>
  <c r="H283" i="1"/>
  <c r="H292" i="1"/>
  <c r="H301" i="1"/>
  <c r="H310" i="1"/>
  <c r="H319" i="1"/>
  <c r="H328" i="1"/>
  <c r="H338" i="1"/>
  <c r="H347" i="1"/>
  <c r="H356" i="1"/>
  <c r="H365" i="1"/>
  <c r="H374" i="1"/>
  <c r="H383" i="1"/>
  <c r="H392" i="1"/>
  <c r="G18" i="1"/>
  <c r="G27" i="1"/>
  <c r="G36" i="1"/>
  <c r="G45" i="1"/>
  <c r="G54" i="1"/>
  <c r="G63" i="1"/>
  <c r="G72" i="1"/>
  <c r="G82" i="1"/>
  <c r="G91" i="1"/>
  <c r="G100" i="1"/>
  <c r="G109" i="1"/>
  <c r="G118" i="1"/>
  <c r="G127" i="1"/>
  <c r="G136" i="1"/>
  <c r="G146" i="1"/>
  <c r="G155" i="1"/>
  <c r="G164" i="1"/>
  <c r="G173" i="1"/>
  <c r="G182" i="1"/>
  <c r="G191" i="1"/>
  <c r="G200" i="1"/>
  <c r="G210" i="1"/>
  <c r="G219" i="1"/>
  <c r="G228" i="1"/>
  <c r="G237" i="1"/>
  <c r="G246" i="1"/>
  <c r="G255" i="1"/>
  <c r="G264" i="1"/>
  <c r="G274" i="1"/>
  <c r="G283" i="1"/>
  <c r="G292" i="1"/>
  <c r="G301" i="1"/>
  <c r="G310" i="1"/>
  <c r="G328" i="1"/>
  <c r="G338" i="1"/>
  <c r="G347" i="1"/>
  <c r="G356" i="1"/>
  <c r="G365" i="1"/>
  <c r="G374" i="1"/>
  <c r="G383" i="1"/>
  <c r="G392" i="1"/>
  <c r="F301" i="1"/>
  <c r="F319" i="1"/>
  <c r="F328" i="1"/>
  <c r="F338" i="1"/>
  <c r="F347" i="1"/>
  <c r="F356" i="1"/>
  <c r="F365" i="1"/>
  <c r="F374" i="1"/>
  <c r="F383" i="1"/>
  <c r="F392" i="1"/>
  <c r="E18" i="1"/>
  <c r="E27" i="1"/>
  <c r="E36" i="1"/>
  <c r="E45" i="1"/>
  <c r="E54" i="1"/>
  <c r="E63" i="1"/>
  <c r="E72" i="1"/>
  <c r="E146" i="1"/>
  <c r="E155" i="1"/>
  <c r="E164" i="1"/>
  <c r="E173" i="1"/>
  <c r="E182" i="1"/>
  <c r="E191" i="1"/>
  <c r="E200" i="1"/>
  <c r="E210" i="1"/>
  <c r="E219" i="1"/>
  <c r="E228" i="1"/>
  <c r="E237" i="1"/>
  <c r="E246" i="1"/>
  <c r="E255" i="1"/>
  <c r="E264" i="1"/>
  <c r="E274" i="1"/>
  <c r="E283" i="1"/>
  <c r="E292" i="1"/>
  <c r="E301" i="1"/>
  <c r="E310" i="1"/>
  <c r="E319" i="1"/>
  <c r="E328" i="1"/>
  <c r="E365" i="1"/>
  <c r="D18" i="1"/>
  <c r="D27" i="1"/>
  <c r="D36" i="1"/>
  <c r="D45" i="1"/>
  <c r="D338" i="1"/>
  <c r="D347" i="1"/>
  <c r="D356" i="1"/>
  <c r="D365" i="1"/>
  <c r="D374" i="1"/>
  <c r="D383" i="1"/>
  <c r="D392" i="1"/>
  <c r="C36" i="1"/>
  <c r="C45" i="1"/>
  <c r="C54" i="1"/>
  <c r="C63" i="1"/>
  <c r="C72" i="1"/>
  <c r="C82" i="1"/>
  <c r="C27" i="1"/>
  <c r="C83" i="1"/>
  <c r="C147" i="1"/>
  <c r="C31" i="3"/>
  <c r="C100" i="1"/>
  <c r="C109" i="1"/>
  <c r="C118" i="1"/>
  <c r="C127" i="1"/>
  <c r="C136" i="1"/>
  <c r="C146" i="1"/>
  <c r="C91" i="1"/>
  <c r="D9" i="2"/>
  <c r="P9" i="2"/>
  <c r="P8" i="2"/>
  <c r="C26" i="3"/>
  <c r="C23" i="3"/>
  <c r="C27" i="3"/>
  <c r="C29" i="3"/>
  <c r="C32" i="3"/>
  <c r="C28" i="3"/>
  <c r="C183" i="1"/>
  <c r="C35" i="3"/>
  <c r="C174" i="1"/>
  <c r="C34" i="3"/>
  <c r="C165" i="1"/>
  <c r="C33" i="3"/>
  <c r="C155" i="1"/>
  <c r="C164" i="1"/>
  <c r="C173" i="1"/>
  <c r="C182" i="1"/>
  <c r="C191" i="1"/>
  <c r="C200" i="1"/>
  <c r="C210" i="1"/>
  <c r="C192" i="1"/>
  <c r="C36" i="3"/>
  <c r="C220" i="1"/>
  <c r="C39" i="3"/>
  <c r="C138" i="1"/>
  <c r="C30" i="3"/>
  <c r="C211" i="1"/>
  <c r="C38" i="3"/>
  <c r="C247" i="1"/>
  <c r="C42" i="3"/>
  <c r="C275" i="1"/>
  <c r="C45" i="3"/>
  <c r="C339" i="1"/>
  <c r="C228" i="1"/>
  <c r="C237" i="1"/>
  <c r="C246" i="1"/>
  <c r="C255" i="1"/>
  <c r="C264" i="1"/>
  <c r="C274" i="1"/>
  <c r="C219" i="1"/>
  <c r="C284" i="1"/>
  <c r="C46" i="3"/>
  <c r="C348" i="1"/>
  <c r="C238" i="1"/>
  <c r="C41" i="3"/>
  <c r="C202" i="1"/>
  <c r="C37" i="3"/>
  <c r="C43" i="3"/>
  <c r="C256" i="1"/>
  <c r="C229" i="1"/>
  <c r="C40" i="3"/>
  <c r="C50" i="3"/>
  <c r="C384" i="1"/>
  <c r="C320" i="1"/>
  <c r="C293" i="1"/>
  <c r="C47" i="3"/>
  <c r="C357" i="1"/>
  <c r="C266" i="1"/>
  <c r="C44" i="3"/>
  <c r="C330" i="1"/>
  <c r="C311" i="1"/>
  <c r="C49" i="3"/>
  <c r="C375" i="1"/>
  <c r="C302" i="1"/>
  <c r="C48" i="3"/>
  <c r="C366" i="1"/>
  <c r="C292" i="1"/>
  <c r="C301" i="1"/>
  <c r="C310" i="1"/>
  <c r="C319" i="1"/>
  <c r="C328" i="1"/>
  <c r="C338" i="1"/>
  <c r="C283" i="1"/>
  <c r="C356" i="1"/>
  <c r="C365" i="1"/>
  <c r="C374" i="1"/>
  <c r="C383" i="1"/>
  <c r="C392" i="1"/>
  <c r="C347" i="1"/>
  <c r="AS16" i="6"/>
  <c r="AT23" i="6"/>
  <c r="AS14" i="6"/>
  <c r="AT14" i="6"/>
  <c r="AH50" i="7"/>
  <c r="AE51" i="7"/>
  <c r="AE53" i="7"/>
  <c r="AE54" i="7"/>
  <c r="AE55" i="7"/>
  <c r="AH67" i="7"/>
  <c r="AE69" i="7"/>
  <c r="AH68" i="7"/>
  <c r="AB53" i="7"/>
  <c r="AB54" i="7"/>
  <c r="AB55" i="7"/>
  <c r="AB38" i="7"/>
  <c r="Y33" i="7"/>
  <c r="AB70" i="7"/>
  <c r="AB71" i="7"/>
  <c r="B7" i="11"/>
  <c r="AH98" i="5"/>
  <c r="L466" i="23"/>
  <c r="N466" i="23"/>
  <c r="N471" i="23"/>
  <c r="N213" i="23"/>
  <c r="V66" i="5"/>
  <c r="V74" i="5"/>
  <c r="L236" i="23"/>
  <c r="N236" i="23"/>
  <c r="N256" i="23"/>
  <c r="I405" i="23"/>
  <c r="I406" i="23"/>
  <c r="I399" i="23"/>
  <c r="G315" i="23"/>
  <c r="E358" i="23"/>
  <c r="F404" i="23"/>
  <c r="H361" i="23"/>
  <c r="F458" i="23"/>
  <c r="H462" i="23"/>
  <c r="F505" i="23"/>
  <c r="F548" i="23"/>
  <c r="F508" i="23"/>
  <c r="F551" i="23"/>
  <c r="I282" i="23"/>
  <c r="I284" i="23"/>
  <c r="F325" i="23"/>
  <c r="H282" i="23"/>
  <c r="F331" i="23"/>
  <c r="H288" i="23"/>
  <c r="E491" i="23"/>
  <c r="E534" i="23"/>
  <c r="E364" i="23"/>
  <c r="G321" i="23"/>
  <c r="E325" i="23"/>
  <c r="G282" i="23"/>
  <c r="H319" i="23"/>
  <c r="F362" i="23"/>
  <c r="G319" i="23"/>
  <c r="E406" i="23"/>
  <c r="F399" i="23"/>
  <c r="H356" i="23"/>
  <c r="G289" i="23"/>
  <c r="E332" i="23"/>
  <c r="E329" i="23"/>
  <c r="G286" i="23"/>
  <c r="H286" i="23"/>
  <c r="F459" i="23"/>
  <c r="H416" i="23"/>
  <c r="H292" i="23"/>
  <c r="F335" i="23"/>
  <c r="E374" i="23"/>
  <c r="E360" i="23"/>
  <c r="G317" i="23"/>
  <c r="F360" i="23"/>
  <c r="H317" i="23"/>
  <c r="F299" i="23"/>
  <c r="H299" i="23"/>
  <c r="E335" i="23"/>
  <c r="G292" i="23"/>
  <c r="H320" i="23"/>
  <c r="F363" i="23"/>
  <c r="H289" i="23"/>
  <c r="F332" i="23"/>
  <c r="E414" i="23"/>
  <c r="E447" i="23"/>
  <c r="G404" i="23"/>
  <c r="H321" i="23"/>
  <c r="F488" i="23"/>
  <c r="E336" i="23"/>
  <c r="G293" i="23"/>
  <c r="H293" i="23"/>
  <c r="E420" i="23"/>
  <c r="G377" i="23"/>
  <c r="G361" i="23"/>
  <c r="E327" i="23"/>
  <c r="G284" i="23"/>
  <c r="H284" i="23"/>
  <c r="F407" i="23"/>
  <c r="E357" i="23"/>
  <c r="G314" i="23"/>
  <c r="H314" i="23"/>
  <c r="G251" i="23"/>
  <c r="C379" i="23"/>
  <c r="F337" i="23"/>
  <c r="E337" i="23"/>
  <c r="G337" i="23"/>
  <c r="F358" i="23"/>
  <c r="H315" i="23"/>
  <c r="H357" i="23"/>
  <c r="F400" i="23"/>
  <c r="E355" i="23"/>
  <c r="G312" i="23"/>
  <c r="E459" i="23"/>
  <c r="G416" i="23"/>
  <c r="G283" i="23"/>
  <c r="E326" i="23"/>
  <c r="E294" i="23"/>
  <c r="G402" i="23"/>
  <c r="E445" i="23"/>
  <c r="F355" i="23"/>
  <c r="H312" i="23"/>
  <c r="F371" i="23"/>
  <c r="H328" i="23"/>
  <c r="H283" i="23"/>
  <c r="F326" i="23"/>
  <c r="E505" i="23"/>
  <c r="G462" i="23"/>
  <c r="E299" i="23"/>
  <c r="F294" i="23"/>
  <c r="H294" i="23"/>
  <c r="F413" i="23"/>
  <c r="E365" i="23"/>
  <c r="C407" i="23"/>
  <c r="F365" i="23"/>
  <c r="H365" i="23"/>
  <c r="F420" i="23"/>
  <c r="H377" i="23"/>
  <c r="E353" i="23"/>
  <c r="G310" i="23"/>
  <c r="H310" i="23"/>
  <c r="F397" i="23"/>
  <c r="H354" i="23"/>
  <c r="F482" i="23"/>
  <c r="E399" i="23"/>
  <c r="G356" i="23"/>
  <c r="E322" i="23"/>
  <c r="G322" i="23"/>
  <c r="E440" i="23"/>
  <c r="G397" i="23"/>
  <c r="Z25" i="8"/>
  <c r="Z67" i="8"/>
  <c r="Z26" i="8"/>
  <c r="AP14" i="9"/>
  <c r="AP20" i="9"/>
  <c r="B7" i="10"/>
  <c r="AP13" i="9"/>
  <c r="AJ42" i="5"/>
  <c r="X42" i="5"/>
  <c r="Q11" i="7"/>
  <c r="AJ50" i="5"/>
  <c r="Q12" i="7"/>
  <c r="AP32" i="8"/>
  <c r="AC51" i="8"/>
  <c r="K63" i="8"/>
  <c r="Q45" i="8"/>
  <c r="AI45" i="8"/>
  <c r="H15" i="8"/>
  <c r="K39" i="8"/>
  <c r="AP39" i="8"/>
  <c r="Q21" i="8"/>
  <c r="AI21" i="8"/>
  <c r="AL45" i="8"/>
  <c r="E45" i="8"/>
  <c r="K33" i="8"/>
  <c r="T39" i="8"/>
  <c r="W63" i="8"/>
  <c r="AF63" i="8"/>
  <c r="AI15" i="8"/>
  <c r="AL39" i="8"/>
  <c r="AZ11" i="6"/>
  <c r="AZ12" i="6"/>
  <c r="AZ13" i="6"/>
  <c r="AZ14" i="6"/>
  <c r="AZ15" i="6"/>
  <c r="AZ16" i="6"/>
  <c r="AZ17" i="6"/>
  <c r="AZ18" i="6"/>
  <c r="AZ19" i="6"/>
  <c r="AZ20" i="6"/>
  <c r="AZ21" i="6"/>
  <c r="AZ10" i="6"/>
  <c r="AS23" i="6"/>
  <c r="AS25" i="6"/>
  <c r="AS36" i="6"/>
  <c r="AT28" i="6"/>
  <c r="AT30" i="6"/>
  <c r="AT27" i="6"/>
  <c r="AT6" i="6"/>
  <c r="AT29" i="6"/>
  <c r="AT31" i="6"/>
  <c r="AT32" i="6"/>
  <c r="AT33" i="6"/>
  <c r="AS21" i="6"/>
  <c r="AP24" i="18"/>
  <c r="AT7" i="18"/>
  <c r="AP49" i="8"/>
  <c r="B7" i="16"/>
  <c r="I6" i="16"/>
  <c r="C7" i="20"/>
  <c r="B7" i="15"/>
  <c r="B7" i="17"/>
  <c r="F6" i="17"/>
  <c r="B7" i="18"/>
  <c r="AM6" i="18"/>
  <c r="C7" i="19"/>
  <c r="H7" i="19"/>
  <c r="F6" i="19"/>
  <c r="B3" i="13"/>
  <c r="B3" i="14"/>
  <c r="BF90" i="5"/>
  <c r="BF82" i="5"/>
  <c r="BR74" i="5"/>
  <c r="BR66" i="5"/>
  <c r="BR58" i="5"/>
  <c r="BF50" i="5"/>
  <c r="BF42" i="5"/>
  <c r="BR34" i="5"/>
  <c r="BF26" i="5"/>
  <c r="BF18" i="5"/>
  <c r="BF10" i="5"/>
  <c r="M395" i="1"/>
  <c r="M19" i="2"/>
  <c r="M18" i="2"/>
  <c r="L18" i="2"/>
  <c r="L395" i="1"/>
  <c r="L396" i="1"/>
  <c r="K395" i="1"/>
  <c r="K396" i="1"/>
  <c r="K18" i="2"/>
  <c r="J395" i="1"/>
  <c r="J396" i="1"/>
  <c r="J18" i="2"/>
  <c r="P17" i="2"/>
  <c r="I395" i="1"/>
  <c r="I19" i="2"/>
  <c r="I18" i="2"/>
  <c r="P11" i="2"/>
  <c r="F395" i="1"/>
  <c r="F19" i="2"/>
  <c r="F18" i="2"/>
  <c r="P12" i="2"/>
  <c r="D395" i="1"/>
  <c r="D19" i="2"/>
  <c r="D18" i="2"/>
  <c r="H33" i="8"/>
  <c r="AP33" i="8"/>
  <c r="Z45" i="8"/>
  <c r="AP31" i="8"/>
  <c r="W21" i="8"/>
  <c r="AP19" i="8"/>
  <c r="AP43" i="8"/>
  <c r="AP20" i="8"/>
  <c r="AP21" i="9"/>
  <c r="AP61" i="8"/>
  <c r="AP63" i="8"/>
  <c r="AP56" i="8"/>
  <c r="AP57" i="8"/>
  <c r="AP51" i="8"/>
  <c r="Z23" i="9"/>
  <c r="Q27" i="8"/>
  <c r="AL21" i="8"/>
  <c r="W23" i="9"/>
  <c r="W67" i="8"/>
  <c r="T23" i="9"/>
  <c r="T67" i="8"/>
  <c r="Q67" i="8"/>
  <c r="Q27" i="9"/>
  <c r="Q23" i="9"/>
  <c r="N67" i="8"/>
  <c r="N27" i="9"/>
  <c r="N23" i="9"/>
  <c r="K23" i="9"/>
  <c r="AP15" i="8"/>
  <c r="K67" i="8"/>
  <c r="K27" i="9"/>
  <c r="H67" i="8"/>
  <c r="H27" i="9"/>
  <c r="H23" i="9"/>
  <c r="E23" i="9"/>
  <c r="E67" i="8"/>
  <c r="E27" i="9"/>
  <c r="E68" i="8"/>
  <c r="E31" i="9"/>
  <c r="Z68" i="8"/>
  <c r="W68" i="8"/>
  <c r="T68" i="8"/>
  <c r="T31" i="9"/>
  <c r="Q68" i="8"/>
  <c r="Q31" i="9"/>
  <c r="N68" i="8"/>
  <c r="N31" i="9"/>
  <c r="K68" i="8"/>
  <c r="H68" i="8"/>
  <c r="H31" i="9"/>
  <c r="AL29" i="6"/>
  <c r="AJ6" i="12"/>
  <c r="AI29" i="6"/>
  <c r="AF29" i="6"/>
  <c r="AD6" i="12"/>
  <c r="AC29" i="6"/>
  <c r="Z29" i="6"/>
  <c r="X6" i="12"/>
  <c r="W29" i="6"/>
  <c r="U6" i="12"/>
  <c r="T29" i="6"/>
  <c r="R6" i="12"/>
  <c r="Q29" i="6"/>
  <c r="N29" i="6"/>
  <c r="L6" i="12"/>
  <c r="K29" i="6"/>
  <c r="H29" i="6"/>
  <c r="AM6" i="14"/>
  <c r="AL31" i="6"/>
  <c r="AJ6" i="14"/>
  <c r="AI31" i="6"/>
  <c r="AG6" i="14"/>
  <c r="AF31" i="6"/>
  <c r="AD6" i="14"/>
  <c r="AC31" i="6"/>
  <c r="AA6" i="14"/>
  <c r="Z31" i="6"/>
  <c r="X6" i="14"/>
  <c r="W31" i="6"/>
  <c r="U6" i="14"/>
  <c r="T31" i="6"/>
  <c r="R6" i="14"/>
  <c r="Q31" i="6"/>
  <c r="O6" i="14"/>
  <c r="N31" i="6"/>
  <c r="L6" i="14"/>
  <c r="K31" i="6"/>
  <c r="I6" i="14"/>
  <c r="H31" i="6"/>
  <c r="AP23" i="14"/>
  <c r="K7" i="14"/>
  <c r="AI33" i="6"/>
  <c r="AD6" i="16"/>
  <c r="AA6" i="16"/>
  <c r="T33" i="6"/>
  <c r="N33" i="6"/>
  <c r="O6" i="16"/>
  <c r="L6" i="16"/>
  <c r="AL33" i="6"/>
  <c r="AF33" i="6"/>
  <c r="AC33" i="6"/>
  <c r="Z33" i="6"/>
  <c r="W33" i="6"/>
  <c r="X6" i="16"/>
  <c r="U6" i="16"/>
  <c r="Q33" i="6"/>
  <c r="R6" i="16"/>
  <c r="K33" i="6"/>
  <c r="H33" i="6"/>
  <c r="E33" i="6"/>
  <c r="AL38" i="6"/>
  <c r="AF38" i="6"/>
  <c r="AC38" i="6"/>
  <c r="Z38" i="6"/>
  <c r="W38" i="6"/>
  <c r="T38" i="6"/>
  <c r="Q38" i="6"/>
  <c r="N38" i="6"/>
  <c r="K38" i="6"/>
  <c r="H38" i="6"/>
  <c r="E38" i="6"/>
  <c r="W39" i="6"/>
  <c r="E39" i="6"/>
  <c r="AL39" i="6"/>
  <c r="AF39" i="6"/>
  <c r="AC39" i="6"/>
  <c r="Z39" i="6"/>
  <c r="T39" i="6"/>
  <c r="Q39" i="6"/>
  <c r="B4" i="15"/>
  <c r="B4" i="12"/>
  <c r="B4" i="13"/>
  <c r="E30" i="19"/>
  <c r="E54" i="19"/>
  <c r="AP24" i="17"/>
  <c r="AT7" i="17"/>
  <c r="AP31" i="16"/>
  <c r="AT7" i="16"/>
  <c r="B2" i="14"/>
  <c r="B2" i="13"/>
  <c r="B2" i="12"/>
  <c r="F6" i="14"/>
  <c r="E29" i="6"/>
  <c r="F6" i="12"/>
  <c r="AM6" i="12"/>
  <c r="AG6" i="12"/>
  <c r="AA6" i="12"/>
  <c r="O6" i="12"/>
  <c r="I6" i="12"/>
  <c r="AP24" i="12"/>
  <c r="O395" i="1"/>
  <c r="O19" i="2"/>
  <c r="O18" i="2"/>
  <c r="N18" i="2"/>
  <c r="N395" i="1"/>
  <c r="N396" i="1"/>
  <c r="H18" i="2"/>
  <c r="H395" i="1"/>
  <c r="H19" i="2"/>
  <c r="H21" i="2"/>
  <c r="G18" i="2"/>
  <c r="G395" i="1"/>
  <c r="G396" i="1"/>
  <c r="P16" i="2"/>
  <c r="P15" i="2"/>
  <c r="P13" i="2"/>
  <c r="E18" i="2"/>
  <c r="P14" i="2"/>
  <c r="E395" i="1"/>
  <c r="AH69" i="7"/>
  <c r="AK68" i="7"/>
  <c r="AK67" i="7"/>
  <c r="AE70" i="7"/>
  <c r="AE71" i="7"/>
  <c r="AB33" i="7"/>
  <c r="AH51" i="7"/>
  <c r="AK50" i="7"/>
  <c r="O21" i="2"/>
  <c r="M514" i="23"/>
  <c r="F6" i="16"/>
  <c r="AG6" i="16"/>
  <c r="AM6" i="16"/>
  <c r="AJ6" i="16"/>
  <c r="L509" i="23"/>
  <c r="N509" i="23"/>
  <c r="AH106" i="5"/>
  <c r="J106" i="5"/>
  <c r="AY7" i="16"/>
  <c r="J98" i="5"/>
  <c r="N552" i="23"/>
  <c r="H331" i="23"/>
  <c r="F374" i="23"/>
  <c r="C450" i="23"/>
  <c r="H337" i="23"/>
  <c r="E370" i="23"/>
  <c r="G327" i="23"/>
  <c r="H327" i="23"/>
  <c r="E490" i="23"/>
  <c r="H362" i="23"/>
  <c r="F405" i="23"/>
  <c r="G362" i="23"/>
  <c r="F501" i="23"/>
  <c r="F440" i="23"/>
  <c r="H397" i="23"/>
  <c r="G365" i="23"/>
  <c r="C422" i="23"/>
  <c r="E457" i="23"/>
  <c r="H360" i="23"/>
  <c r="F403" i="23"/>
  <c r="E483" i="23"/>
  <c r="G440" i="23"/>
  <c r="E526" i="23"/>
  <c r="H371" i="23"/>
  <c r="F414" i="23"/>
  <c r="E502" i="23"/>
  <c r="G459" i="23"/>
  <c r="G371" i="23"/>
  <c r="G329" i="23"/>
  <c r="E372" i="23"/>
  <c r="H329" i="23"/>
  <c r="F368" i="23"/>
  <c r="H325" i="23"/>
  <c r="F447" i="23"/>
  <c r="H404" i="23"/>
  <c r="F456" i="23"/>
  <c r="E463" i="23"/>
  <c r="G420" i="23"/>
  <c r="F375" i="23"/>
  <c r="H332" i="23"/>
  <c r="G360" i="23"/>
  <c r="E403" i="23"/>
  <c r="E375" i="23"/>
  <c r="G332" i="23"/>
  <c r="E368" i="23"/>
  <c r="G325" i="23"/>
  <c r="I291" i="23"/>
  <c r="I292" i="23"/>
  <c r="I285" i="23"/>
  <c r="F398" i="23"/>
  <c r="H355" i="23"/>
  <c r="E398" i="23"/>
  <c r="G355" i="23"/>
  <c r="I551" i="23"/>
  <c r="E401" i="23"/>
  <c r="G358" i="23"/>
  <c r="G374" i="23"/>
  <c r="E417" i="23"/>
  <c r="G399" i="23"/>
  <c r="E442" i="23"/>
  <c r="E396" i="23"/>
  <c r="G353" i="23"/>
  <c r="H353" i="23"/>
  <c r="F342" i="23"/>
  <c r="H342" i="23"/>
  <c r="G445" i="23"/>
  <c r="E488" i="23"/>
  <c r="F443" i="23"/>
  <c r="G357" i="23"/>
  <c r="E400" i="23"/>
  <c r="H400" i="23"/>
  <c r="E379" i="23"/>
  <c r="G336" i="23"/>
  <c r="H336" i="23"/>
  <c r="H363" i="23"/>
  <c r="F406" i="23"/>
  <c r="G331" i="23"/>
  <c r="E407" i="23"/>
  <c r="G364" i="23"/>
  <c r="H322" i="23"/>
  <c r="G299" i="23"/>
  <c r="H445" i="23"/>
  <c r="F378" i="23"/>
  <c r="H335" i="23"/>
  <c r="F442" i="23"/>
  <c r="H399" i="23"/>
  <c r="E342" i="23"/>
  <c r="G294" i="23"/>
  <c r="H364" i="23"/>
  <c r="H488" i="23"/>
  <c r="F531" i="23"/>
  <c r="E449" i="23"/>
  <c r="G406" i="23"/>
  <c r="H505" i="23"/>
  <c r="F525" i="23"/>
  <c r="F463" i="23"/>
  <c r="H420" i="23"/>
  <c r="G505" i="23"/>
  <c r="E548" i="23"/>
  <c r="G548" i="23"/>
  <c r="I407" i="23"/>
  <c r="H407" i="23"/>
  <c r="F450" i="23"/>
  <c r="G363" i="23"/>
  <c r="F369" i="23"/>
  <c r="H326" i="23"/>
  <c r="G326" i="23"/>
  <c r="E369" i="23"/>
  <c r="F401" i="23"/>
  <c r="H358" i="23"/>
  <c r="E533" i="23"/>
  <c r="E378" i="23"/>
  <c r="G335" i="23"/>
  <c r="F502" i="23"/>
  <c r="H459" i="23"/>
  <c r="F545" i="23"/>
  <c r="F544" i="23"/>
  <c r="Z27" i="8"/>
  <c r="AC25" i="8"/>
  <c r="AC67" i="8"/>
  <c r="AC27" i="9"/>
  <c r="AC26" i="8"/>
  <c r="AC68" i="8"/>
  <c r="AC31" i="9"/>
  <c r="AC66" i="8"/>
  <c r="AC15" i="9"/>
  <c r="AC23" i="9"/>
  <c r="AC19" i="6"/>
  <c r="AY7" i="17"/>
  <c r="C9" i="19"/>
  <c r="E7" i="18"/>
  <c r="AF7" i="18"/>
  <c r="Z19" i="6"/>
  <c r="Z33" i="9"/>
  <c r="W19" i="6"/>
  <c r="W33" i="9"/>
  <c r="T19" i="6"/>
  <c r="T33" i="9"/>
  <c r="Q19" i="6"/>
  <c r="Q33" i="9"/>
  <c r="Q36" i="9"/>
  <c r="N19" i="6"/>
  <c r="N33" i="9"/>
  <c r="N36" i="9"/>
  <c r="K19" i="6"/>
  <c r="K33" i="9"/>
  <c r="H19" i="6"/>
  <c r="H33" i="9"/>
  <c r="H36" i="9"/>
  <c r="E19" i="6"/>
  <c r="E33" i="9"/>
  <c r="E36" i="9"/>
  <c r="L24" i="12"/>
  <c r="T12" i="7"/>
  <c r="X50" i="5"/>
  <c r="X58" i="5"/>
  <c r="W11" i="7"/>
  <c r="W12" i="7"/>
  <c r="AJ58" i="5"/>
  <c r="T11" i="7"/>
  <c r="AY7" i="9"/>
  <c r="AY7" i="7"/>
  <c r="AY7" i="18"/>
  <c r="AY7" i="14"/>
  <c r="AY7" i="15"/>
  <c r="AY7" i="11"/>
  <c r="AY7" i="13"/>
  <c r="AY7" i="10"/>
  <c r="AY7" i="8"/>
  <c r="BR106" i="5"/>
  <c r="BF106" i="5"/>
  <c r="AY7" i="12"/>
  <c r="BH7" i="6"/>
  <c r="AP45" i="8"/>
  <c r="AT25" i="6"/>
  <c r="I6" i="17"/>
  <c r="L6" i="18"/>
  <c r="AQ6" i="18"/>
  <c r="AZ22" i="6"/>
  <c r="AS41" i="6"/>
  <c r="AT36" i="6"/>
  <c r="AJ6" i="18"/>
  <c r="O6" i="18"/>
  <c r="F6" i="18"/>
  <c r="R6" i="17"/>
  <c r="U6" i="18"/>
  <c r="AG6" i="18"/>
  <c r="U6" i="17"/>
  <c r="AA6" i="17"/>
  <c r="AA6" i="18"/>
  <c r="X6" i="17"/>
  <c r="AJ6" i="17"/>
  <c r="X6" i="18"/>
  <c r="AD6" i="17"/>
  <c r="AG6" i="17"/>
  <c r="AD6" i="18"/>
  <c r="R6" i="18"/>
  <c r="AM6" i="17"/>
  <c r="O6" i="17"/>
  <c r="L6" i="17"/>
  <c r="I6" i="18"/>
  <c r="M396" i="1"/>
  <c r="M23" i="2"/>
  <c r="G82" i="5"/>
  <c r="M21" i="2"/>
  <c r="L19" i="2"/>
  <c r="L21" i="2"/>
  <c r="K19" i="2"/>
  <c r="K23" i="2"/>
  <c r="J19" i="2"/>
  <c r="J21" i="2"/>
  <c r="I396" i="1"/>
  <c r="I21" i="2"/>
  <c r="I23" i="2"/>
  <c r="G50" i="5"/>
  <c r="BC50" i="5"/>
  <c r="F396" i="1"/>
  <c r="G26" i="5"/>
  <c r="F21" i="2"/>
  <c r="F23" i="2"/>
  <c r="D396" i="1"/>
  <c r="G10" i="5"/>
  <c r="D21" i="2"/>
  <c r="D23" i="2"/>
  <c r="AP21" i="8"/>
  <c r="T27" i="9"/>
  <c r="Z27" i="9"/>
  <c r="W27" i="9"/>
  <c r="W69" i="8"/>
  <c r="X6" i="8"/>
  <c r="Q69" i="8"/>
  <c r="R6" i="8"/>
  <c r="N69" i="8"/>
  <c r="O6" i="8"/>
  <c r="H69" i="8"/>
  <c r="I6" i="8"/>
  <c r="E69" i="8"/>
  <c r="F6" i="8"/>
  <c r="Z69" i="8"/>
  <c r="AA6" i="8"/>
  <c r="Z31" i="9"/>
  <c r="W31" i="9"/>
  <c r="T69" i="8"/>
  <c r="U6" i="8"/>
  <c r="K31" i="9"/>
  <c r="K69" i="8"/>
  <c r="L6" i="8"/>
  <c r="E40" i="9"/>
  <c r="F40" i="9"/>
  <c r="Q40" i="9"/>
  <c r="R40" i="9"/>
  <c r="H40" i="9"/>
  <c r="I40" i="9"/>
  <c r="N40" i="9"/>
  <c r="O40" i="9"/>
  <c r="AJ24" i="12"/>
  <c r="X24" i="12"/>
  <c r="R24" i="12"/>
  <c r="F24" i="12"/>
  <c r="AP31" i="6"/>
  <c r="AQ6" i="16"/>
  <c r="AP33" i="6"/>
  <c r="J27" i="21"/>
  <c r="F19" i="19"/>
  <c r="F28" i="19"/>
  <c r="F43" i="19"/>
  <c r="F52" i="19"/>
  <c r="F54" i="19"/>
  <c r="E66" i="19"/>
  <c r="F66" i="19"/>
  <c r="F61" i="19"/>
  <c r="F59" i="19"/>
  <c r="F36" i="19"/>
  <c r="F23" i="19"/>
  <c r="F16" i="19"/>
  <c r="F62" i="19"/>
  <c r="F60" i="19"/>
  <c r="F58" i="19"/>
  <c r="F49" i="19"/>
  <c r="F47" i="19"/>
  <c r="F40" i="19"/>
  <c r="F39" i="19"/>
  <c r="F37" i="19"/>
  <c r="F26" i="19"/>
  <c r="F24" i="19"/>
  <c r="F17" i="19"/>
  <c r="F15" i="19"/>
  <c r="F48" i="19"/>
  <c r="F41" i="19"/>
  <c r="F38" i="19"/>
  <c r="F30" i="19"/>
  <c r="F50" i="19"/>
  <c r="F25" i="19"/>
  <c r="F14" i="19"/>
  <c r="F64" i="19"/>
  <c r="N7" i="18"/>
  <c r="T7" i="18"/>
  <c r="B9" i="18"/>
  <c r="AC7" i="18"/>
  <c r="AL7" i="18"/>
  <c r="AP7" i="18"/>
  <c r="K7" i="18"/>
  <c r="H7" i="18"/>
  <c r="Q7" i="18"/>
  <c r="W7" i="18"/>
  <c r="Z7" i="18"/>
  <c r="AI7" i="18"/>
  <c r="Q7" i="17"/>
  <c r="AL7" i="17"/>
  <c r="AI7" i="17"/>
  <c r="AP7" i="17"/>
  <c r="K7" i="17"/>
  <c r="AQ6" i="17"/>
  <c r="Z7" i="17"/>
  <c r="AF7" i="17"/>
  <c r="W7" i="17"/>
  <c r="T7" i="17"/>
  <c r="N7" i="17"/>
  <c r="AC7" i="17"/>
  <c r="B9" i="17"/>
  <c r="E7" i="17"/>
  <c r="H7" i="17"/>
  <c r="AL7" i="16"/>
  <c r="Z7" i="16"/>
  <c r="N7" i="16"/>
  <c r="AI7" i="16"/>
  <c r="W7" i="16"/>
  <c r="K7" i="16"/>
  <c r="B9" i="16"/>
  <c r="AF7" i="16"/>
  <c r="T7" i="16"/>
  <c r="H7" i="16"/>
  <c r="AP7" i="16"/>
  <c r="AC7" i="16"/>
  <c r="Q7" i="16"/>
  <c r="E7" i="16"/>
  <c r="T7" i="14"/>
  <c r="Z7" i="14"/>
  <c r="W7" i="14"/>
  <c r="E7" i="14"/>
  <c r="AF7" i="14"/>
  <c r="AP7" i="14"/>
  <c r="N7" i="14"/>
  <c r="AQ6" i="14"/>
  <c r="AT7" i="14"/>
  <c r="H7" i="14"/>
  <c r="Q7" i="14"/>
  <c r="AI7" i="14"/>
  <c r="AL7" i="14"/>
  <c r="AC7" i="14"/>
  <c r="B9" i="14"/>
  <c r="AP29" i="6"/>
  <c r="J23" i="21"/>
  <c r="AQ17" i="12"/>
  <c r="AT7" i="12"/>
  <c r="AM24" i="12"/>
  <c r="AD24" i="12"/>
  <c r="AA24" i="12"/>
  <c r="U24" i="12"/>
  <c r="O24" i="12"/>
  <c r="N7" i="12"/>
  <c r="AQ13" i="12"/>
  <c r="AQ18" i="12"/>
  <c r="AQ21" i="12"/>
  <c r="I24" i="12"/>
  <c r="AQ19" i="12"/>
  <c r="AQ20" i="12"/>
  <c r="AQ6" i="12"/>
  <c r="AI7" i="12"/>
  <c r="W7" i="12"/>
  <c r="K7" i="12"/>
  <c r="B9" i="12"/>
  <c r="AF7" i="12"/>
  <c r="T7" i="12"/>
  <c r="H7" i="12"/>
  <c r="AP7" i="12"/>
  <c r="AC7" i="12"/>
  <c r="Q7" i="12"/>
  <c r="E7" i="12"/>
  <c r="AL7" i="12"/>
  <c r="AG24" i="12"/>
  <c r="Z7" i="12"/>
  <c r="AQ22" i="12"/>
  <c r="AQ15" i="12"/>
  <c r="AQ16" i="12"/>
  <c r="AQ14" i="12"/>
  <c r="O23" i="2"/>
  <c r="G98" i="5"/>
  <c r="S98" i="5"/>
  <c r="O396" i="1"/>
  <c r="N19" i="2"/>
  <c r="N21" i="2"/>
  <c r="H396" i="1"/>
  <c r="H23" i="2"/>
  <c r="G42" i="5"/>
  <c r="S42" i="5"/>
  <c r="G19" i="2"/>
  <c r="G34" i="5"/>
  <c r="P18" i="2"/>
  <c r="E19" i="2"/>
  <c r="E396" i="1"/>
  <c r="P395" i="1"/>
  <c r="E68" i="19"/>
  <c r="AK51" i="7"/>
  <c r="AK53" i="7"/>
  <c r="AK54" i="7"/>
  <c r="AK55" i="7"/>
  <c r="AE33" i="7"/>
  <c r="AH38" i="7"/>
  <c r="AH53" i="7"/>
  <c r="AH54" i="7"/>
  <c r="AH55" i="7"/>
  <c r="AE38" i="7"/>
  <c r="AH70" i="7"/>
  <c r="AH71" i="7"/>
  <c r="AC27" i="8"/>
  <c r="AC69" i="8"/>
  <c r="AD6" i="8"/>
  <c r="AC40" i="9"/>
  <c r="AD40" i="9"/>
  <c r="AC33" i="9"/>
  <c r="M557" i="23"/>
  <c r="N494" i="23"/>
  <c r="N537" i="23"/>
  <c r="L537" i="23"/>
  <c r="F565" i="23"/>
  <c r="BR98" i="5"/>
  <c r="BF98" i="5"/>
  <c r="H442" i="23"/>
  <c r="F485" i="23"/>
  <c r="F528" i="23"/>
  <c r="E444" i="23"/>
  <c r="G401" i="23"/>
  <c r="G368" i="23"/>
  <c r="E411" i="23"/>
  <c r="G502" i="23"/>
  <c r="E545" i="23"/>
  <c r="G545" i="23"/>
  <c r="C465" i="23"/>
  <c r="F499" i="23"/>
  <c r="F542" i="23"/>
  <c r="F457" i="23"/>
  <c r="H414" i="23"/>
  <c r="E380" i="23"/>
  <c r="G533" i="23"/>
  <c r="G375" i="23"/>
  <c r="E418" i="23"/>
  <c r="H378" i="23"/>
  <c r="F421" i="23"/>
  <c r="H447" i="23"/>
  <c r="F490" i="23"/>
  <c r="H490" i="23"/>
  <c r="F493" i="23"/>
  <c r="F536" i="23"/>
  <c r="G379" i="23"/>
  <c r="E422" i="23"/>
  <c r="H379" i="23"/>
  <c r="E385" i="23"/>
  <c r="E446" i="23"/>
  <c r="G403" i="23"/>
  <c r="E413" i="23"/>
  <c r="G370" i="23"/>
  <c r="H370" i="23"/>
  <c r="E421" i="23"/>
  <c r="G378" i="23"/>
  <c r="G449" i="23"/>
  <c r="E492" i="23"/>
  <c r="F444" i="23"/>
  <c r="H401" i="23"/>
  <c r="E412" i="23"/>
  <c r="G369" i="23"/>
  <c r="E439" i="23"/>
  <c r="G396" i="23"/>
  <c r="H396" i="23"/>
  <c r="E441" i="23"/>
  <c r="G398" i="23"/>
  <c r="F411" i="23"/>
  <c r="H368" i="23"/>
  <c r="F385" i="23"/>
  <c r="H385" i="23"/>
  <c r="H440" i="23"/>
  <c r="F483" i="23"/>
  <c r="E408" i="23"/>
  <c r="G408" i="23"/>
  <c r="E415" i="23"/>
  <c r="G372" i="23"/>
  <c r="H372" i="23"/>
  <c r="F446" i="23"/>
  <c r="H403" i="23"/>
  <c r="C493" i="23"/>
  <c r="G342" i="23"/>
  <c r="E460" i="23"/>
  <c r="H398" i="23"/>
  <c r="F441" i="23"/>
  <c r="H375" i="23"/>
  <c r="F418" i="23"/>
  <c r="F408" i="23"/>
  <c r="G442" i="23"/>
  <c r="E485" i="23"/>
  <c r="G485" i="23"/>
  <c r="E528" i="23"/>
  <c r="G528" i="23"/>
  <c r="H545" i="23"/>
  <c r="F412" i="23"/>
  <c r="H369" i="23"/>
  <c r="H463" i="23"/>
  <c r="F506" i="23"/>
  <c r="F549" i="23"/>
  <c r="H548" i="23"/>
  <c r="E450" i="23"/>
  <c r="H450" i="23"/>
  <c r="G407" i="23"/>
  <c r="F486" i="23"/>
  <c r="G414" i="23"/>
  <c r="F448" i="23"/>
  <c r="F451" i="23"/>
  <c r="H405" i="23"/>
  <c r="G405" i="23"/>
  <c r="F533" i="23"/>
  <c r="H533" i="23"/>
  <c r="I525" i="23"/>
  <c r="I527" i="23"/>
  <c r="G457" i="23"/>
  <c r="E500" i="23"/>
  <c r="F417" i="23"/>
  <c r="H374" i="23"/>
  <c r="E443" i="23"/>
  <c r="G400" i="23"/>
  <c r="H502" i="23"/>
  <c r="F449" i="23"/>
  <c r="H406" i="23"/>
  <c r="G488" i="23"/>
  <c r="E531" i="23"/>
  <c r="G531" i="23"/>
  <c r="G463" i="23"/>
  <c r="E506" i="23"/>
  <c r="F380" i="23"/>
  <c r="H380" i="23"/>
  <c r="G447" i="23"/>
  <c r="AC36" i="9"/>
  <c r="AC41" i="9"/>
  <c r="AD41" i="9"/>
  <c r="AF25" i="8"/>
  <c r="AF67" i="8"/>
  <c r="AF27" i="9"/>
  <c r="AF26" i="8"/>
  <c r="AF68" i="8"/>
  <c r="AF31" i="9"/>
  <c r="AF15" i="9"/>
  <c r="AF23" i="9"/>
  <c r="AF66" i="8"/>
  <c r="T36" i="9"/>
  <c r="T41" i="9"/>
  <c r="U41" i="9"/>
  <c r="T40" i="9"/>
  <c r="U40" i="9"/>
  <c r="AJ66" i="5"/>
  <c r="X66" i="5"/>
  <c r="Z11" i="7"/>
  <c r="AS43" i="6"/>
  <c r="AT43" i="6"/>
  <c r="AT41" i="6"/>
  <c r="S82" i="5"/>
  <c r="BC82" i="5"/>
  <c r="BO82" i="5"/>
  <c r="G74" i="5"/>
  <c r="BC74" i="5"/>
  <c r="L23" i="2"/>
  <c r="G66" i="5"/>
  <c r="K21" i="2"/>
  <c r="J23" i="2"/>
  <c r="G58" i="5"/>
  <c r="S58" i="5"/>
  <c r="S50" i="5"/>
  <c r="AE50" i="5"/>
  <c r="S26" i="5"/>
  <c r="BC26" i="5"/>
  <c r="S10" i="5"/>
  <c r="BC10" i="5"/>
  <c r="Z40" i="9"/>
  <c r="AA40" i="9"/>
  <c r="W40" i="9"/>
  <c r="X40" i="9"/>
  <c r="K36" i="9"/>
  <c r="K38" i="9"/>
  <c r="W36" i="9"/>
  <c r="W41" i="9"/>
  <c r="X41" i="9"/>
  <c r="K40" i="9"/>
  <c r="L40" i="9"/>
  <c r="Z36" i="9"/>
  <c r="Z41" i="9"/>
  <c r="AA41" i="9"/>
  <c r="Q41" i="9"/>
  <c r="R41" i="9"/>
  <c r="Q20" i="6"/>
  <c r="Q21" i="6"/>
  <c r="Q38" i="9"/>
  <c r="N41" i="9"/>
  <c r="O41" i="9"/>
  <c r="N20" i="6"/>
  <c r="N21" i="6"/>
  <c r="N38" i="9"/>
  <c r="E20" i="6"/>
  <c r="E38" i="9"/>
  <c r="E41" i="9"/>
  <c r="F41" i="9"/>
  <c r="H41" i="9"/>
  <c r="I41" i="9"/>
  <c r="H20" i="6"/>
  <c r="H21" i="6"/>
  <c r="H38" i="9"/>
  <c r="AQ24" i="12"/>
  <c r="BC98" i="5"/>
  <c r="BO98" i="5"/>
  <c r="AE98" i="5"/>
  <c r="G90" i="5"/>
  <c r="S90" i="5"/>
  <c r="N23" i="2"/>
  <c r="BC42" i="5"/>
  <c r="AE42" i="5"/>
  <c r="Q42" i="5"/>
  <c r="BO42" i="5"/>
  <c r="G23" i="2"/>
  <c r="G21" i="2"/>
  <c r="S34" i="5"/>
  <c r="BC34" i="5"/>
  <c r="G18" i="5"/>
  <c r="E23" i="2"/>
  <c r="P19" i="2"/>
  <c r="E21" i="2"/>
  <c r="AO53" i="7"/>
  <c r="AH33" i="7"/>
  <c r="AF40" i="9"/>
  <c r="AG40" i="9"/>
  <c r="AC20" i="6"/>
  <c r="AF27" i="8"/>
  <c r="AC38" i="9"/>
  <c r="AF69" i="8"/>
  <c r="AG6" i="8"/>
  <c r="E565" i="23"/>
  <c r="E575" i="23"/>
  <c r="E570" i="23"/>
  <c r="N514" i="23"/>
  <c r="N557" i="23"/>
  <c r="L557" i="23"/>
  <c r="L552" i="23"/>
  <c r="F570" i="23"/>
  <c r="F575" i="23"/>
  <c r="C508" i="23"/>
  <c r="E503" i="23"/>
  <c r="H531" i="23"/>
  <c r="G380" i="23"/>
  <c r="E486" i="23"/>
  <c r="G486" i="23"/>
  <c r="G443" i="23"/>
  <c r="G506" i="23"/>
  <c r="E549" i="23"/>
  <c r="G549" i="23"/>
  <c r="F529" i="23"/>
  <c r="I536" i="23"/>
  <c r="G411" i="23"/>
  <c r="E454" i="23"/>
  <c r="E482" i="23"/>
  <c r="G439" i="23"/>
  <c r="H439" i="23"/>
  <c r="G421" i="23"/>
  <c r="E464" i="23"/>
  <c r="G422" i="23"/>
  <c r="E465" i="23"/>
  <c r="H422" i="23"/>
  <c r="E451" i="23"/>
  <c r="G451" i="23"/>
  <c r="H483" i="23"/>
  <c r="C536" i="23"/>
  <c r="E494" i="23"/>
  <c r="G483" i="23"/>
  <c r="H457" i="23"/>
  <c r="F500" i="23"/>
  <c r="F455" i="23"/>
  <c r="H412" i="23"/>
  <c r="G492" i="23"/>
  <c r="E535" i="23"/>
  <c r="H443" i="23"/>
  <c r="E456" i="23"/>
  <c r="G413" i="23"/>
  <c r="H413" i="23"/>
  <c r="E487" i="23"/>
  <c r="G444" i="23"/>
  <c r="H417" i="23"/>
  <c r="F460" i="23"/>
  <c r="G450" i="23"/>
  <c r="E493" i="23"/>
  <c r="F484" i="23"/>
  <c r="H484" i="23"/>
  <c r="H441" i="23"/>
  <c r="E455" i="23"/>
  <c r="G412" i="23"/>
  <c r="H528" i="23"/>
  <c r="E428" i="23"/>
  <c r="H418" i="23"/>
  <c r="F461" i="23"/>
  <c r="H506" i="23"/>
  <c r="F454" i="23"/>
  <c r="F466" i="23"/>
  <c r="I411" i="23"/>
  <c r="I413" i="23"/>
  <c r="H411" i="23"/>
  <c r="E489" i="23"/>
  <c r="G446" i="23"/>
  <c r="E532" i="23"/>
  <c r="F464" i="23"/>
  <c r="H421" i="23"/>
  <c r="G490" i="23"/>
  <c r="H485" i="23"/>
  <c r="F491" i="23"/>
  <c r="H448" i="23"/>
  <c r="G448" i="23"/>
  <c r="F489" i="23"/>
  <c r="H489" i="23"/>
  <c r="H446" i="23"/>
  <c r="F532" i="23"/>
  <c r="H532" i="23"/>
  <c r="F492" i="23"/>
  <c r="H449" i="23"/>
  <c r="E458" i="23"/>
  <c r="G415" i="23"/>
  <c r="H415" i="23"/>
  <c r="G385" i="23"/>
  <c r="E423" i="23"/>
  <c r="G423" i="23"/>
  <c r="F471" i="23"/>
  <c r="G500" i="23"/>
  <c r="E543" i="23"/>
  <c r="H408" i="23"/>
  <c r="I528" i="23"/>
  <c r="I534" i="23"/>
  <c r="I535" i="23"/>
  <c r="F526" i="23"/>
  <c r="E546" i="23"/>
  <c r="G417" i="23"/>
  <c r="E484" i="23"/>
  <c r="G441" i="23"/>
  <c r="E527" i="23"/>
  <c r="F487" i="23"/>
  <c r="H444" i="23"/>
  <c r="G418" i="23"/>
  <c r="E461" i="23"/>
  <c r="F423" i="23"/>
  <c r="F428" i="23"/>
  <c r="H428" i="23"/>
  <c r="AF19" i="6"/>
  <c r="AF33" i="9"/>
  <c r="AF36" i="9"/>
  <c r="AF41" i="9"/>
  <c r="AG41" i="9"/>
  <c r="AI25" i="8"/>
  <c r="AI67" i="8"/>
  <c r="AI27" i="9"/>
  <c r="AI26" i="8"/>
  <c r="AI68" i="8"/>
  <c r="AI31" i="9"/>
  <c r="AI66" i="8"/>
  <c r="AI15" i="9"/>
  <c r="AI23" i="9"/>
  <c r="T38" i="9"/>
  <c r="U6" i="9"/>
  <c r="T20" i="6"/>
  <c r="T21" i="6"/>
  <c r="Z12" i="7"/>
  <c r="X74" i="5"/>
  <c r="AC11" i="7"/>
  <c r="AS45" i="6"/>
  <c r="AT45" i="6"/>
  <c r="AE82" i="5"/>
  <c r="S74" i="5"/>
  <c r="BO74" i="5"/>
  <c r="BO66" i="5"/>
  <c r="S66" i="5"/>
  <c r="BC66" i="5"/>
  <c r="BO58" i="5"/>
  <c r="BC58" i="5"/>
  <c r="Q58" i="5"/>
  <c r="AE58" i="5"/>
  <c r="Q50" i="5"/>
  <c r="BO50" i="5"/>
  <c r="AQ50" i="5"/>
  <c r="AO50" i="5"/>
  <c r="AC50" i="5"/>
  <c r="Q26" i="5"/>
  <c r="BO26" i="5"/>
  <c r="AE26" i="5"/>
  <c r="AE10" i="5"/>
  <c r="BO10" i="5"/>
  <c r="Q10" i="5"/>
  <c r="K41" i="9"/>
  <c r="L41" i="9"/>
  <c r="K20" i="6"/>
  <c r="K21" i="6"/>
  <c r="Z20" i="6"/>
  <c r="Z21" i="6"/>
  <c r="Z38" i="9"/>
  <c r="AA6" i="9"/>
  <c r="W20" i="6"/>
  <c r="W38" i="9"/>
  <c r="X6" i="9"/>
  <c r="L6" i="9"/>
  <c r="AD6" i="9"/>
  <c r="AC21" i="6"/>
  <c r="R6" i="9"/>
  <c r="I6" i="9"/>
  <c r="F6" i="9"/>
  <c r="E21" i="6"/>
  <c r="O6" i="9"/>
  <c r="AQ98" i="5"/>
  <c r="AO98" i="5"/>
  <c r="BO90" i="5"/>
  <c r="BC90" i="5"/>
  <c r="AE90" i="5"/>
  <c r="AC42" i="5"/>
  <c r="AQ42" i="5"/>
  <c r="AO42" i="5"/>
  <c r="AE34" i="5"/>
  <c r="Q34" i="5"/>
  <c r="BO34" i="5"/>
  <c r="J10" i="2"/>
  <c r="D10" i="2"/>
  <c r="I10" i="2"/>
  <c r="F10" i="2"/>
  <c r="M10" i="2"/>
  <c r="L10" i="2"/>
  <c r="P21" i="2"/>
  <c r="G10" i="2"/>
  <c r="N10" i="2"/>
  <c r="O10" i="2"/>
  <c r="P23" i="2"/>
  <c r="K10" i="2"/>
  <c r="H10" i="2"/>
  <c r="E10" i="2"/>
  <c r="S18" i="5"/>
  <c r="G106" i="5"/>
  <c r="BC18" i="5"/>
  <c r="AI27" i="8"/>
  <c r="AI69" i="8"/>
  <c r="AJ6" i="8"/>
  <c r="AF38" i="9"/>
  <c r="AG6" i="9"/>
  <c r="AF20" i="6"/>
  <c r="AF21" i="6"/>
  <c r="G464" i="23"/>
  <c r="E507" i="23"/>
  <c r="E550" i="23"/>
  <c r="H491" i="23"/>
  <c r="G491" i="23"/>
  <c r="H549" i="23"/>
  <c r="F494" i="23"/>
  <c r="H494" i="23"/>
  <c r="I420" i="23"/>
  <c r="I421" i="23"/>
  <c r="I414" i="23"/>
  <c r="G535" i="23"/>
  <c r="G456" i="23"/>
  <c r="E499" i="23"/>
  <c r="H456" i="23"/>
  <c r="H461" i="23"/>
  <c r="F504" i="23"/>
  <c r="E471" i="23"/>
  <c r="G471" i="23"/>
  <c r="H471" i="23"/>
  <c r="G484" i="23"/>
  <c r="E514" i="23"/>
  <c r="G482" i="23"/>
  <c r="H482" i="23"/>
  <c r="E525" i="23"/>
  <c r="F503" i="23"/>
  <c r="H460" i="23"/>
  <c r="G454" i="23"/>
  <c r="E497" i="23"/>
  <c r="G497" i="23"/>
  <c r="E540" i="23"/>
  <c r="G540" i="23"/>
  <c r="G460" i="23"/>
  <c r="H423" i="23"/>
  <c r="H492" i="23"/>
  <c r="F535" i="23"/>
  <c r="H535" i="23"/>
  <c r="H464" i="23"/>
  <c r="F507" i="23"/>
  <c r="G503" i="23"/>
  <c r="G458" i="23"/>
  <c r="E501" i="23"/>
  <c r="H458" i="23"/>
  <c r="E544" i="23"/>
  <c r="G532" i="23"/>
  <c r="F498" i="23"/>
  <c r="H455" i="23"/>
  <c r="E466" i="23"/>
  <c r="G466" i="23"/>
  <c r="H487" i="23"/>
  <c r="F530" i="23"/>
  <c r="G428" i="23"/>
  <c r="G461" i="23"/>
  <c r="E504" i="23"/>
  <c r="G487" i="23"/>
  <c r="E530" i="23"/>
  <c r="G530" i="23"/>
  <c r="H500" i="23"/>
  <c r="F543" i="23"/>
  <c r="H543" i="23"/>
  <c r="G465" i="23"/>
  <c r="E508" i="23"/>
  <c r="H465" i="23"/>
  <c r="H454" i="23"/>
  <c r="F497" i="23"/>
  <c r="F540" i="23"/>
  <c r="G493" i="23"/>
  <c r="E536" i="23"/>
  <c r="G489" i="23"/>
  <c r="E498" i="23"/>
  <c r="G455" i="23"/>
  <c r="E541" i="23"/>
  <c r="H529" i="23"/>
  <c r="C551" i="23"/>
  <c r="H526" i="23"/>
  <c r="G526" i="23"/>
  <c r="F534" i="23"/>
  <c r="F527" i="23"/>
  <c r="H527" i="23"/>
  <c r="E542" i="23"/>
  <c r="E529" i="23"/>
  <c r="G529" i="23"/>
  <c r="H493" i="23"/>
  <c r="H486" i="23"/>
  <c r="H451" i="23"/>
  <c r="AI19" i="6"/>
  <c r="AI33" i="9"/>
  <c r="AI36" i="9"/>
  <c r="AI38" i="9"/>
  <c r="AJ6" i="9"/>
  <c r="AL25" i="8"/>
  <c r="AL26" i="8"/>
  <c r="AL15" i="9"/>
  <c r="AL66" i="8"/>
  <c r="AP24" i="8"/>
  <c r="AI40" i="9"/>
  <c r="AJ40" i="9"/>
  <c r="AJ74" i="5"/>
  <c r="Q74" i="5"/>
  <c r="X82" i="5"/>
  <c r="Q82" i="5"/>
  <c r="AF11" i="7"/>
  <c r="AC12" i="7"/>
  <c r="AQ82" i="5"/>
  <c r="AO82" i="5"/>
  <c r="AE74" i="5"/>
  <c r="Q66" i="5"/>
  <c r="AE66" i="5"/>
  <c r="AC58" i="5"/>
  <c r="AQ58" i="5"/>
  <c r="AO58" i="5"/>
  <c r="E50" i="5"/>
  <c r="T14" i="6"/>
  <c r="T14" i="10"/>
  <c r="AC26" i="5"/>
  <c r="AQ26" i="5"/>
  <c r="AO26" i="5"/>
  <c r="AC10" i="5"/>
  <c r="AQ10" i="5"/>
  <c r="AO10" i="5"/>
  <c r="AV7" i="18"/>
  <c r="BA7" i="18"/>
  <c r="AV7" i="17"/>
  <c r="BA7" i="17"/>
  <c r="W21" i="6"/>
  <c r="AQ90" i="5"/>
  <c r="AO90" i="5"/>
  <c r="E42" i="5"/>
  <c r="Q14" i="6"/>
  <c r="Q14" i="10"/>
  <c r="AQ34" i="5"/>
  <c r="AO34" i="5"/>
  <c r="AC34" i="5"/>
  <c r="G114" i="5"/>
  <c r="AV7" i="9"/>
  <c r="AV7" i="8"/>
  <c r="BC106" i="5"/>
  <c r="BE7" i="6"/>
  <c r="AV7" i="7"/>
  <c r="BO18" i="5"/>
  <c r="S106" i="5"/>
  <c r="Q18" i="5"/>
  <c r="AE18" i="5"/>
  <c r="P10" i="2"/>
  <c r="G498" i="23"/>
  <c r="G501" i="23"/>
  <c r="H501" i="23"/>
  <c r="G504" i="23"/>
  <c r="E547" i="23"/>
  <c r="G547" i="23"/>
  <c r="G508" i="23"/>
  <c r="H508" i="23"/>
  <c r="E551" i="23"/>
  <c r="H534" i="23"/>
  <c r="G534" i="23"/>
  <c r="G527" i="23"/>
  <c r="H504" i="23"/>
  <c r="F547" i="23"/>
  <c r="I540" i="23"/>
  <c r="I542" i="23"/>
  <c r="H540" i="23"/>
  <c r="H503" i="23"/>
  <c r="F546" i="23"/>
  <c r="G499" i="23"/>
  <c r="H499" i="23"/>
  <c r="G507" i="23"/>
  <c r="H498" i="23"/>
  <c r="F541" i="23"/>
  <c r="H541" i="23"/>
  <c r="G544" i="23"/>
  <c r="H544" i="23"/>
  <c r="F514" i="23"/>
  <c r="H514" i="23"/>
  <c r="H497" i="23"/>
  <c r="H530" i="23"/>
  <c r="H507" i="23"/>
  <c r="F550" i="23"/>
  <c r="H550" i="23"/>
  <c r="G525" i="23"/>
  <c r="E557" i="23"/>
  <c r="H525" i="23"/>
  <c r="G514" i="23"/>
  <c r="G542" i="23"/>
  <c r="H542" i="23"/>
  <c r="G543" i="23"/>
  <c r="E509" i="23"/>
  <c r="G509" i="23"/>
  <c r="F509" i="23"/>
  <c r="E537" i="23"/>
  <c r="G494" i="23"/>
  <c r="G536" i="23"/>
  <c r="H536" i="23"/>
  <c r="E552" i="23"/>
  <c r="F537" i="23"/>
  <c r="H466" i="23"/>
  <c r="AP26" i="8"/>
  <c r="AL68" i="8"/>
  <c r="AP66" i="8"/>
  <c r="AP25" i="8"/>
  <c r="AL67" i="8"/>
  <c r="AL23" i="9"/>
  <c r="AP15" i="9"/>
  <c r="AI20" i="6"/>
  <c r="AI21" i="6"/>
  <c r="AI41" i="9"/>
  <c r="AJ41" i="9"/>
  <c r="AL27" i="8"/>
  <c r="AC74" i="5"/>
  <c r="U21" i="6"/>
  <c r="U24" i="15"/>
  <c r="U18" i="14"/>
  <c r="U23" i="15"/>
  <c r="U17" i="14"/>
  <c r="U17" i="15"/>
  <c r="U20" i="14"/>
  <c r="U22" i="15"/>
  <c r="U16" i="14"/>
  <c r="U19" i="14"/>
  <c r="U21" i="15"/>
  <c r="U15" i="14"/>
  <c r="U14" i="14"/>
  <c r="U19" i="15"/>
  <c r="U13" i="14"/>
  <c r="U18" i="15"/>
  <c r="U16" i="15"/>
  <c r="U27" i="15"/>
  <c r="U15" i="15"/>
  <c r="U21" i="14"/>
  <c r="U26" i="15"/>
  <c r="U14" i="15"/>
  <c r="U25" i="15"/>
  <c r="U13" i="15"/>
  <c r="U25" i="11"/>
  <c r="U22" i="13"/>
  <c r="T23" i="13"/>
  <c r="T17" i="11"/>
  <c r="U17" i="11"/>
  <c r="U24" i="11"/>
  <c r="U21" i="13"/>
  <c r="U23" i="11"/>
  <c r="U20" i="13"/>
  <c r="T20" i="15"/>
  <c r="U22" i="11"/>
  <c r="U19" i="13"/>
  <c r="U21" i="11"/>
  <c r="U18" i="13"/>
  <c r="U32" i="11"/>
  <c r="U20" i="11"/>
  <c r="U17" i="13"/>
  <c r="U31" i="11"/>
  <c r="U19" i="11"/>
  <c r="U16" i="13"/>
  <c r="U14" i="13"/>
  <c r="U30" i="11"/>
  <c r="U18" i="11"/>
  <c r="U15" i="13"/>
  <c r="U29" i="11"/>
  <c r="T24" i="10"/>
  <c r="T26" i="10"/>
  <c r="U28" i="11"/>
  <c r="U16" i="11"/>
  <c r="U13" i="13"/>
  <c r="U27" i="11"/>
  <c r="U15" i="11"/>
  <c r="U26" i="11"/>
  <c r="U14" i="11"/>
  <c r="T13" i="11"/>
  <c r="R27" i="15"/>
  <c r="R15" i="15"/>
  <c r="R15" i="14"/>
  <c r="R26" i="15"/>
  <c r="R14" i="15"/>
  <c r="R14" i="14"/>
  <c r="R25" i="15"/>
  <c r="R13" i="15"/>
  <c r="R13" i="14"/>
  <c r="R24" i="15"/>
  <c r="R16" i="14"/>
  <c r="R23" i="15"/>
  <c r="R20" i="14"/>
  <c r="R22" i="15"/>
  <c r="R21" i="15"/>
  <c r="R21" i="14"/>
  <c r="R19" i="15"/>
  <c r="R19" i="14"/>
  <c r="R18" i="15"/>
  <c r="R18" i="14"/>
  <c r="R17" i="15"/>
  <c r="R17" i="14"/>
  <c r="R16" i="15"/>
  <c r="R21" i="11"/>
  <c r="Q13" i="11"/>
  <c r="R21" i="13"/>
  <c r="Q23" i="13"/>
  <c r="Q24" i="10"/>
  <c r="R32" i="11"/>
  <c r="R20" i="11"/>
  <c r="R20" i="13"/>
  <c r="Q17" i="11"/>
  <c r="R17" i="11"/>
  <c r="R31" i="11"/>
  <c r="R19" i="11"/>
  <c r="R19" i="13"/>
  <c r="R30" i="11"/>
  <c r="R18" i="11"/>
  <c r="R18" i="13"/>
  <c r="R22" i="13"/>
  <c r="Q20" i="15"/>
  <c r="R29" i="11"/>
  <c r="R17" i="13"/>
  <c r="R28" i="11"/>
  <c r="R16" i="11"/>
  <c r="R16" i="13"/>
  <c r="R27" i="11"/>
  <c r="R15" i="11"/>
  <c r="R15" i="13"/>
  <c r="R26" i="11"/>
  <c r="R14" i="11"/>
  <c r="R14" i="13"/>
  <c r="R13" i="13"/>
  <c r="R25" i="11"/>
  <c r="R24" i="11"/>
  <c r="R23" i="11"/>
  <c r="R22" i="11"/>
  <c r="AJ82" i="5"/>
  <c r="AC82" i="5"/>
  <c r="AJ90" i="5"/>
  <c r="AC90" i="5"/>
  <c r="AF12" i="7"/>
  <c r="X90" i="5"/>
  <c r="Q90" i="5"/>
  <c r="E82" i="5"/>
  <c r="L82" i="5"/>
  <c r="AQ74" i="5"/>
  <c r="AO74" i="5"/>
  <c r="AQ66" i="5"/>
  <c r="AO66" i="5"/>
  <c r="AC66" i="5"/>
  <c r="E58" i="5"/>
  <c r="W14" i="6"/>
  <c r="W14" i="10"/>
  <c r="L50" i="5"/>
  <c r="U14" i="18"/>
  <c r="U21" i="17"/>
  <c r="U18" i="16"/>
  <c r="U19" i="10"/>
  <c r="U62" i="8"/>
  <c r="U44" i="8"/>
  <c r="U26" i="8"/>
  <c r="U13" i="18"/>
  <c r="U20" i="17"/>
  <c r="U29" i="16"/>
  <c r="U17" i="16"/>
  <c r="U18" i="10"/>
  <c r="U19" i="17"/>
  <c r="U28" i="16"/>
  <c r="U16" i="16"/>
  <c r="U17" i="10"/>
  <c r="U54" i="8"/>
  <c r="U36" i="8"/>
  <c r="U18" i="8"/>
  <c r="U18" i="17"/>
  <c r="U27" i="16"/>
  <c r="U15" i="16"/>
  <c r="U16" i="10"/>
  <c r="U55" i="8"/>
  <c r="U37" i="8"/>
  <c r="U19" i="8"/>
  <c r="U22" i="18"/>
  <c r="U17" i="17"/>
  <c r="U26" i="16"/>
  <c r="U14" i="16"/>
  <c r="U15" i="10"/>
  <c r="U56" i="8"/>
  <c r="U38" i="8"/>
  <c r="U20" i="8"/>
  <c r="U21" i="18"/>
  <c r="U16" i="17"/>
  <c r="U25" i="16"/>
  <c r="U13" i="16"/>
  <c r="U20" i="18"/>
  <c r="U15" i="17"/>
  <c r="U24" i="16"/>
  <c r="U13" i="10"/>
  <c r="U48" i="8"/>
  <c r="U30" i="8"/>
  <c r="U19" i="18"/>
  <c r="U14" i="17"/>
  <c r="U23" i="16"/>
  <c r="U49" i="8"/>
  <c r="U31" i="8"/>
  <c r="U14" i="8"/>
  <c r="U18" i="18"/>
  <c r="U13" i="17"/>
  <c r="U22" i="16"/>
  <c r="U23" i="10"/>
  <c r="U50" i="8"/>
  <c r="U32" i="8"/>
  <c r="U13" i="8"/>
  <c r="U6" i="6"/>
  <c r="U17" i="18"/>
  <c r="U21" i="16"/>
  <c r="U22" i="10"/>
  <c r="U12" i="8"/>
  <c r="U16" i="18"/>
  <c r="U20" i="16"/>
  <c r="U21" i="10"/>
  <c r="U60" i="8"/>
  <c r="U42" i="8"/>
  <c r="U24" i="8"/>
  <c r="U15" i="18"/>
  <c r="U22" i="17"/>
  <c r="U19" i="16"/>
  <c r="U20" i="10"/>
  <c r="U61" i="8"/>
  <c r="U43" i="8"/>
  <c r="U25" i="8"/>
  <c r="U14" i="10"/>
  <c r="U31" i="16"/>
  <c r="U24" i="17"/>
  <c r="U66" i="8"/>
  <c r="U15" i="8"/>
  <c r="U24" i="18"/>
  <c r="U33" i="6"/>
  <c r="U19" i="6"/>
  <c r="U29" i="6"/>
  <c r="U68" i="8"/>
  <c r="U67" i="8"/>
  <c r="U31" i="6"/>
  <c r="U38" i="9"/>
  <c r="U20" i="6"/>
  <c r="R13" i="18"/>
  <c r="R18" i="17"/>
  <c r="R19" i="16"/>
  <c r="R17" i="17"/>
  <c r="R18" i="16"/>
  <c r="R16" i="17"/>
  <c r="R29" i="16"/>
  <c r="R17" i="16"/>
  <c r="R22" i="18"/>
  <c r="R15" i="17"/>
  <c r="R28" i="16"/>
  <c r="R16" i="16"/>
  <c r="R21" i="18"/>
  <c r="R14" i="17"/>
  <c r="R27" i="16"/>
  <c r="R15" i="16"/>
  <c r="R20" i="18"/>
  <c r="R13" i="17"/>
  <c r="R26" i="16"/>
  <c r="R14" i="16"/>
  <c r="R19" i="18"/>
  <c r="R25" i="16"/>
  <c r="R13" i="16"/>
  <c r="R18" i="18"/>
  <c r="R24" i="16"/>
  <c r="R17" i="18"/>
  <c r="R22" i="17"/>
  <c r="R23" i="16"/>
  <c r="R16" i="18"/>
  <c r="R21" i="17"/>
  <c r="R22" i="16"/>
  <c r="R15" i="18"/>
  <c r="R20" i="17"/>
  <c r="R21" i="16"/>
  <c r="R14" i="18"/>
  <c r="R19" i="17"/>
  <c r="R20" i="16"/>
  <c r="R31" i="16"/>
  <c r="R24" i="17"/>
  <c r="R24" i="18"/>
  <c r="E26" i="5"/>
  <c r="L26" i="5"/>
  <c r="E10" i="5"/>
  <c r="AV7" i="14"/>
  <c r="BA7" i="14"/>
  <c r="AV7" i="15"/>
  <c r="AV7" i="12"/>
  <c r="BA7" i="12"/>
  <c r="AV7" i="16"/>
  <c r="BA7" i="16"/>
  <c r="AV7" i="13"/>
  <c r="AV7" i="11"/>
  <c r="L42" i="5"/>
  <c r="R23" i="10"/>
  <c r="R19" i="10"/>
  <c r="R15" i="10"/>
  <c r="R38" i="9"/>
  <c r="R68" i="8"/>
  <c r="R61" i="8"/>
  <c r="R54" i="8"/>
  <c r="R44" i="8"/>
  <c r="R37" i="8"/>
  <c r="R30" i="8"/>
  <c r="R20" i="8"/>
  <c r="R15" i="8"/>
  <c r="R19" i="6"/>
  <c r="R20" i="6"/>
  <c r="R22" i="10"/>
  <c r="R18" i="10"/>
  <c r="R62" i="8"/>
  <c r="R55" i="8"/>
  <c r="R48" i="8"/>
  <c r="R38" i="8"/>
  <c r="R31" i="8"/>
  <c r="R24" i="8"/>
  <c r="R14" i="8"/>
  <c r="R21" i="10"/>
  <c r="R17" i="10"/>
  <c r="R13" i="10"/>
  <c r="R21" i="6"/>
  <c r="R66" i="8"/>
  <c r="R56" i="8"/>
  <c r="R49" i="8"/>
  <c r="R42" i="8"/>
  <c r="R32" i="8"/>
  <c r="R25" i="8"/>
  <c r="R18" i="8"/>
  <c r="R13" i="8"/>
  <c r="R6" i="6"/>
  <c r="R24" i="10"/>
  <c r="R20" i="10"/>
  <c r="R16" i="10"/>
  <c r="R67" i="8"/>
  <c r="R60" i="8"/>
  <c r="R50" i="8"/>
  <c r="R43" i="8"/>
  <c r="R36" i="8"/>
  <c r="R26" i="8"/>
  <c r="R19" i="8"/>
  <c r="R12" i="8"/>
  <c r="R29" i="6"/>
  <c r="R33" i="6"/>
  <c r="R31" i="6"/>
  <c r="E34" i="5"/>
  <c r="L34" i="5"/>
  <c r="BO106" i="5"/>
  <c r="S114" i="5"/>
  <c r="BO114" i="5"/>
  <c r="AC18" i="5"/>
  <c r="AQ18" i="5"/>
  <c r="AE106" i="5"/>
  <c r="AE114" i="5"/>
  <c r="AV7" i="10"/>
  <c r="BC114" i="5"/>
  <c r="G565" i="23"/>
  <c r="H537" i="23"/>
  <c r="F552" i="23"/>
  <c r="F557" i="23"/>
  <c r="H557" i="23"/>
  <c r="G557" i="23"/>
  <c r="G551" i="23"/>
  <c r="H551" i="23"/>
  <c r="H546" i="23"/>
  <c r="G546" i="23"/>
  <c r="G537" i="23"/>
  <c r="H509" i="23"/>
  <c r="I543" i="23"/>
  <c r="I549" i="23"/>
  <c r="I550" i="23"/>
  <c r="H547" i="23"/>
  <c r="G541" i="23"/>
  <c r="G550" i="23"/>
  <c r="E74" i="5"/>
  <c r="AL33" i="9"/>
  <c r="AL19" i="6"/>
  <c r="AP23" i="9"/>
  <c r="AL27" i="9"/>
  <c r="AP67" i="8"/>
  <c r="AL69" i="8"/>
  <c r="AL31" i="9"/>
  <c r="AP31" i="9"/>
  <c r="AP68" i="8"/>
  <c r="AP27" i="8"/>
  <c r="U24" i="10"/>
  <c r="E90" i="5"/>
  <c r="AI14" i="6"/>
  <c r="AJ28" i="16"/>
  <c r="R23" i="13"/>
  <c r="Q25" i="13"/>
  <c r="R13" i="11"/>
  <c r="Q34" i="11"/>
  <c r="U13" i="11"/>
  <c r="T34" i="11"/>
  <c r="U20" i="15"/>
  <c r="T29" i="15"/>
  <c r="X21" i="15"/>
  <c r="X21" i="14"/>
  <c r="X16" i="14"/>
  <c r="X20" i="14"/>
  <c r="X19" i="15"/>
  <c r="X19" i="14"/>
  <c r="X14" i="14"/>
  <c r="X18" i="15"/>
  <c r="X18" i="14"/>
  <c r="X15" i="14"/>
  <c r="X17" i="15"/>
  <c r="X17" i="14"/>
  <c r="X16" i="15"/>
  <c r="X14" i="15"/>
  <c r="X27" i="15"/>
  <c r="X15" i="15"/>
  <c r="X26" i="15"/>
  <c r="X25" i="15"/>
  <c r="X13" i="15"/>
  <c r="X13" i="14"/>
  <c r="X24" i="15"/>
  <c r="X23" i="15"/>
  <c r="X22" i="15"/>
  <c r="W17" i="11"/>
  <c r="X17" i="11"/>
  <c r="X30" i="11"/>
  <c r="X18" i="11"/>
  <c r="W23" i="13"/>
  <c r="X29" i="11"/>
  <c r="X16" i="11"/>
  <c r="X22" i="13"/>
  <c r="W20" i="15"/>
  <c r="X28" i="11"/>
  <c r="X15" i="11"/>
  <c r="X21" i="13"/>
  <c r="X27" i="11"/>
  <c r="X14" i="11"/>
  <c r="X20" i="13"/>
  <c r="X26" i="11"/>
  <c r="X19" i="13"/>
  <c r="X25" i="11"/>
  <c r="X18" i="13"/>
  <c r="X24" i="11"/>
  <c r="X17" i="13"/>
  <c r="X13" i="13"/>
  <c r="X23" i="11"/>
  <c r="X16" i="13"/>
  <c r="X15" i="13"/>
  <c r="X22" i="11"/>
  <c r="W24" i="10"/>
  <c r="W26" i="10"/>
  <c r="X21" i="11"/>
  <c r="X14" i="13"/>
  <c r="X32" i="11"/>
  <c r="X20" i="11"/>
  <c r="W13" i="11"/>
  <c r="X31" i="11"/>
  <c r="X19" i="11"/>
  <c r="U23" i="13"/>
  <c r="T25" i="13"/>
  <c r="R20" i="15"/>
  <c r="Q29" i="15"/>
  <c r="T27" i="6"/>
  <c r="U6" i="10"/>
  <c r="AI12" i="7"/>
  <c r="AI11" i="7"/>
  <c r="X98" i="5"/>
  <c r="Q98" i="5"/>
  <c r="AL11" i="7"/>
  <c r="U63" i="8"/>
  <c r="AJ15" i="17"/>
  <c r="AF14" i="6"/>
  <c r="AF14" i="10"/>
  <c r="AC14" i="6"/>
  <c r="AC14" i="10"/>
  <c r="L74" i="5"/>
  <c r="E66" i="5"/>
  <c r="L66" i="5"/>
  <c r="L58" i="5"/>
  <c r="X15" i="18"/>
  <c r="X29" i="16"/>
  <c r="X17" i="16"/>
  <c r="X18" i="10"/>
  <c r="X62" i="8"/>
  <c r="X44" i="8"/>
  <c r="X26" i="8"/>
  <c r="X14" i="18"/>
  <c r="X28" i="16"/>
  <c r="X16" i="16"/>
  <c r="X17" i="10"/>
  <c r="X13" i="18"/>
  <c r="X22" i="17"/>
  <c r="X27" i="16"/>
  <c r="X15" i="16"/>
  <c r="X16" i="10"/>
  <c r="X54" i="8"/>
  <c r="X36" i="8"/>
  <c r="X18" i="8"/>
  <c r="X6" i="6"/>
  <c r="X21" i="17"/>
  <c r="X26" i="16"/>
  <c r="X14" i="16"/>
  <c r="X15" i="10"/>
  <c r="X55" i="8"/>
  <c r="X37" i="8"/>
  <c r="X20" i="8"/>
  <c r="X20" i="17"/>
  <c r="X25" i="16"/>
  <c r="X13" i="16"/>
  <c r="X14" i="10"/>
  <c r="X56" i="8"/>
  <c r="X38" i="8"/>
  <c r="X22" i="18"/>
  <c r="X19" i="17"/>
  <c r="X24" i="16"/>
  <c r="X13" i="10"/>
  <c r="X14" i="8"/>
  <c r="X21" i="18"/>
  <c r="X18" i="17"/>
  <c r="X23" i="16"/>
  <c r="X48" i="8"/>
  <c r="X30" i="8"/>
  <c r="X13" i="8"/>
  <c r="X20" i="18"/>
  <c r="X17" i="17"/>
  <c r="X22" i="16"/>
  <c r="X23" i="10"/>
  <c r="X49" i="8"/>
  <c r="X31" i="8"/>
  <c r="X12" i="8"/>
  <c r="X19" i="18"/>
  <c r="X16" i="17"/>
  <c r="X21" i="16"/>
  <c r="X22" i="10"/>
  <c r="X50" i="8"/>
  <c r="X32" i="8"/>
  <c r="X18" i="18"/>
  <c r="X15" i="17"/>
  <c r="X20" i="16"/>
  <c r="X21" i="10"/>
  <c r="X17" i="18"/>
  <c r="X14" i="17"/>
  <c r="X19" i="16"/>
  <c r="X20" i="10"/>
  <c r="X60" i="8"/>
  <c r="X42" i="8"/>
  <c r="X24" i="8"/>
  <c r="X16" i="18"/>
  <c r="X13" i="17"/>
  <c r="X18" i="16"/>
  <c r="X19" i="10"/>
  <c r="X61" i="8"/>
  <c r="X43" i="8"/>
  <c r="X25" i="8"/>
  <c r="X66" i="8"/>
  <c r="X19" i="8"/>
  <c r="X31" i="16"/>
  <c r="X15" i="8"/>
  <c r="X24" i="18"/>
  <c r="X24" i="17"/>
  <c r="X31" i="6"/>
  <c r="X29" i="6"/>
  <c r="X33" i="6"/>
  <c r="X19" i="6"/>
  <c r="X68" i="8"/>
  <c r="X67" i="8"/>
  <c r="X38" i="9"/>
  <c r="X20" i="6"/>
  <c r="X21" i="6"/>
  <c r="U33" i="8"/>
  <c r="U26" i="10"/>
  <c r="U21" i="8"/>
  <c r="U27" i="8"/>
  <c r="U69" i="8"/>
  <c r="U39" i="8"/>
  <c r="U45" i="8"/>
  <c r="U57" i="8"/>
  <c r="U51" i="8"/>
  <c r="K14" i="6"/>
  <c r="L10" i="5"/>
  <c r="E14" i="6"/>
  <c r="E14" i="10"/>
  <c r="AJ29" i="6"/>
  <c r="AJ44" i="8"/>
  <c r="R39" i="8"/>
  <c r="R21" i="8"/>
  <c r="R27" i="8"/>
  <c r="R57" i="8"/>
  <c r="R69" i="8"/>
  <c r="Q26" i="10"/>
  <c r="R14" i="10"/>
  <c r="R26" i="10"/>
  <c r="R33" i="8"/>
  <c r="R63" i="8"/>
  <c r="R45" i="8"/>
  <c r="R51" i="8"/>
  <c r="N14" i="6"/>
  <c r="N14" i="10"/>
  <c r="AO18" i="5"/>
  <c r="AO106" i="5"/>
  <c r="AQ106" i="5"/>
  <c r="AQ114" i="5"/>
  <c r="AP69" i="8"/>
  <c r="G570" i="23"/>
  <c r="H552" i="23"/>
  <c r="G552" i="23"/>
  <c r="F566" i="23"/>
  <c r="D565" i="23"/>
  <c r="AJ54" i="8"/>
  <c r="AJ31" i="8"/>
  <c r="AJ21" i="16"/>
  <c r="AJ13" i="15"/>
  <c r="AJ14" i="8"/>
  <c r="AJ38" i="8"/>
  <c r="AJ6" i="6"/>
  <c r="AJ32" i="8"/>
  <c r="AJ20" i="17"/>
  <c r="AJ48" i="8"/>
  <c r="AJ25" i="16"/>
  <c r="AI17" i="11"/>
  <c r="AJ17" i="11"/>
  <c r="AJ31" i="6"/>
  <c r="AJ19" i="8"/>
  <c r="AJ56" i="8"/>
  <c r="AJ19" i="18"/>
  <c r="AJ61" i="8"/>
  <c r="AJ25" i="8"/>
  <c r="AJ27" i="8"/>
  <c r="AJ42" i="8"/>
  <c r="AJ23" i="10"/>
  <c r="AJ33" i="6"/>
  <c r="L90" i="5"/>
  <c r="AJ31" i="16"/>
  <c r="AJ13" i="8"/>
  <c r="AJ18" i="8"/>
  <c r="AJ14" i="18"/>
  <c r="AJ26" i="8"/>
  <c r="AJ36" i="8"/>
  <c r="AJ20" i="8"/>
  <c r="AJ24" i="17"/>
  <c r="AJ30" i="8"/>
  <c r="AJ20" i="18"/>
  <c r="AJ22" i="18"/>
  <c r="AJ24" i="8"/>
  <c r="AJ20" i="6"/>
  <c r="AJ12" i="8"/>
  <c r="AJ15" i="8"/>
  <c r="AJ43" i="8"/>
  <c r="AJ50" i="8"/>
  <c r="AJ37" i="8"/>
  <c r="AJ19" i="6"/>
  <c r="AJ21" i="15"/>
  <c r="AI14" i="10"/>
  <c r="AJ20" i="13"/>
  <c r="AJ25" i="15"/>
  <c r="AJ15" i="11"/>
  <c r="AJ14" i="15"/>
  <c r="AJ24" i="18"/>
  <c r="AJ17" i="16"/>
  <c r="AJ22" i="16"/>
  <c r="AJ27" i="11"/>
  <c r="AJ19" i="15"/>
  <c r="L15" i="18"/>
  <c r="K14" i="10"/>
  <c r="AJ14" i="16"/>
  <c r="AJ16" i="17"/>
  <c r="AJ21" i="17"/>
  <c r="AI24" i="10"/>
  <c r="AJ24" i="10"/>
  <c r="AJ13" i="17"/>
  <c r="AJ18" i="16"/>
  <c r="AJ16" i="18"/>
  <c r="AJ30" i="11"/>
  <c r="AJ17" i="17"/>
  <c r="AJ23" i="16"/>
  <c r="AJ19" i="11"/>
  <c r="AJ15" i="16"/>
  <c r="AJ19" i="16"/>
  <c r="AJ22" i="17"/>
  <c r="AJ13" i="13"/>
  <c r="AJ27" i="16"/>
  <c r="AJ18" i="17"/>
  <c r="AJ17" i="18"/>
  <c r="AJ20" i="11"/>
  <c r="AJ67" i="8"/>
  <c r="AJ21" i="6"/>
  <c r="AJ14" i="17"/>
  <c r="AJ13" i="18"/>
  <c r="AJ24" i="16"/>
  <c r="AJ16" i="13"/>
  <c r="AJ32" i="11"/>
  <c r="AJ66" i="8"/>
  <c r="AJ38" i="9"/>
  <c r="AJ17" i="10"/>
  <c r="AJ18" i="10"/>
  <c r="AJ15" i="10"/>
  <c r="AJ21" i="18"/>
  <c r="AJ20" i="16"/>
  <c r="AJ18" i="18"/>
  <c r="AJ17" i="13"/>
  <c r="AJ22" i="15"/>
  <c r="AJ55" i="8"/>
  <c r="AJ62" i="8"/>
  <c r="AJ13" i="10"/>
  <c r="AJ20" i="10"/>
  <c r="AJ21" i="10"/>
  <c r="AJ22" i="10"/>
  <c r="AJ19" i="10"/>
  <c r="AJ16" i="16"/>
  <c r="AJ19" i="17"/>
  <c r="AJ13" i="16"/>
  <c r="AJ26" i="11"/>
  <c r="AJ23" i="15"/>
  <c r="AQ6" i="8"/>
  <c r="AC7" i="8"/>
  <c r="K7" i="8"/>
  <c r="Z7" i="8"/>
  <c r="E7" i="8"/>
  <c r="T7" i="8"/>
  <c r="AF7" i="8"/>
  <c r="H7" i="8"/>
  <c r="N7" i="8"/>
  <c r="AT7" i="8"/>
  <c r="BA7" i="8"/>
  <c r="W7" i="8"/>
  <c r="Q7" i="8"/>
  <c r="B9" i="8"/>
  <c r="AI7" i="8"/>
  <c r="AM6" i="8"/>
  <c r="AL7" i="8"/>
  <c r="AL40" i="9"/>
  <c r="AP27" i="9"/>
  <c r="AP19" i="6"/>
  <c r="AL36" i="9"/>
  <c r="AP33" i="9"/>
  <c r="AI23" i="13"/>
  <c r="AI25" i="13"/>
  <c r="AJ26" i="15"/>
  <c r="AJ16" i="11"/>
  <c r="AJ15" i="14"/>
  <c r="AJ31" i="11"/>
  <c r="AJ14" i="14"/>
  <c r="AJ24" i="11"/>
  <c r="AJ19" i="13"/>
  <c r="AJ17" i="15"/>
  <c r="AJ16" i="14"/>
  <c r="AJ23" i="11"/>
  <c r="AJ21" i="13"/>
  <c r="AJ14" i="13"/>
  <c r="AJ16" i="15"/>
  <c r="AI13" i="11"/>
  <c r="AJ13" i="11"/>
  <c r="AJ22" i="11"/>
  <c r="AJ17" i="14"/>
  <c r="AJ18" i="14"/>
  <c r="AI20" i="15"/>
  <c r="AJ20" i="15"/>
  <c r="AJ29" i="11"/>
  <c r="AJ16" i="10"/>
  <c r="AJ68" i="8"/>
  <c r="AJ60" i="8"/>
  <c r="AJ49" i="8"/>
  <c r="AJ26" i="16"/>
  <c r="AJ29" i="16"/>
  <c r="AJ15" i="18"/>
  <c r="AJ18" i="13"/>
  <c r="AJ18" i="11"/>
  <c r="AJ24" i="15"/>
  <c r="AJ19" i="14"/>
  <c r="AJ13" i="14"/>
  <c r="AJ18" i="15"/>
  <c r="AJ20" i="14"/>
  <c r="AJ25" i="11"/>
  <c r="AJ28" i="11"/>
  <c r="AJ21" i="11"/>
  <c r="AJ15" i="15"/>
  <c r="AJ21" i="14"/>
  <c r="AJ14" i="11"/>
  <c r="AJ22" i="13"/>
  <c r="AJ15" i="13"/>
  <c r="AJ27" i="15"/>
  <c r="L37" i="8"/>
  <c r="L55" i="8"/>
  <c r="X20" i="15"/>
  <c r="W29" i="15"/>
  <c r="X13" i="11"/>
  <c r="W34" i="11"/>
  <c r="L21" i="16"/>
  <c r="L21" i="15"/>
  <c r="L21" i="14"/>
  <c r="L14" i="15"/>
  <c r="L20" i="14"/>
  <c r="L17" i="14"/>
  <c r="L15" i="14"/>
  <c r="L19" i="15"/>
  <c r="L19" i="14"/>
  <c r="L18" i="15"/>
  <c r="L18" i="14"/>
  <c r="L26" i="15"/>
  <c r="L17" i="15"/>
  <c r="L16" i="14"/>
  <c r="L16" i="15"/>
  <c r="L13" i="14"/>
  <c r="L27" i="15"/>
  <c r="L15" i="15"/>
  <c r="L14" i="14"/>
  <c r="L25" i="15"/>
  <c r="L13" i="15"/>
  <c r="L24" i="15"/>
  <c r="L23" i="15"/>
  <c r="L22" i="15"/>
  <c r="L25" i="11"/>
  <c r="L19" i="13"/>
  <c r="L24" i="11"/>
  <c r="L18" i="13"/>
  <c r="L23" i="11"/>
  <c r="K13" i="11"/>
  <c r="L17" i="13"/>
  <c r="K23" i="13"/>
  <c r="K24" i="10"/>
  <c r="L21" i="13"/>
  <c r="L22" i="11"/>
  <c r="L16" i="13"/>
  <c r="K17" i="11"/>
  <c r="L17" i="11"/>
  <c r="L21" i="11"/>
  <c r="L15" i="13"/>
  <c r="L32" i="11"/>
  <c r="L20" i="11"/>
  <c r="L14" i="13"/>
  <c r="K20" i="15"/>
  <c r="L31" i="11"/>
  <c r="L19" i="11"/>
  <c r="L13" i="13"/>
  <c r="L30" i="11"/>
  <c r="L18" i="11"/>
  <c r="L29" i="11"/>
  <c r="L28" i="11"/>
  <c r="L16" i="11"/>
  <c r="L22" i="13"/>
  <c r="L20" i="13"/>
  <c r="L27" i="11"/>
  <c r="L15" i="11"/>
  <c r="L26" i="11"/>
  <c r="L14" i="11"/>
  <c r="AD14" i="16"/>
  <c r="AD27" i="15"/>
  <c r="AD15" i="15"/>
  <c r="AD15" i="14"/>
  <c r="AD26" i="15"/>
  <c r="AD14" i="15"/>
  <c r="AD14" i="14"/>
  <c r="AD25" i="15"/>
  <c r="AD13" i="15"/>
  <c r="AD13" i="14"/>
  <c r="AD24" i="15"/>
  <c r="AD23" i="15"/>
  <c r="AD22" i="15"/>
  <c r="AD21" i="15"/>
  <c r="AD21" i="14"/>
  <c r="AD20" i="14"/>
  <c r="AD19" i="15"/>
  <c r="AD19" i="14"/>
  <c r="AD17" i="14"/>
  <c r="AD18" i="15"/>
  <c r="AD18" i="14"/>
  <c r="AD16" i="14"/>
  <c r="AD17" i="15"/>
  <c r="AD16" i="15"/>
  <c r="AC20" i="15"/>
  <c r="AD26" i="11"/>
  <c r="AD14" i="11"/>
  <c r="AD13" i="13"/>
  <c r="AC13" i="11"/>
  <c r="AD25" i="11"/>
  <c r="AD24" i="11"/>
  <c r="AD23" i="11"/>
  <c r="AD22" i="13"/>
  <c r="AD22" i="11"/>
  <c r="AD21" i="13"/>
  <c r="AD21" i="11"/>
  <c r="AD20" i="13"/>
  <c r="AD32" i="11"/>
  <c r="AD20" i="11"/>
  <c r="AD19" i="13"/>
  <c r="AD31" i="11"/>
  <c r="AD19" i="11"/>
  <c r="AD18" i="13"/>
  <c r="AC24" i="10"/>
  <c r="AC26" i="10"/>
  <c r="AD30" i="11"/>
  <c r="AD18" i="11"/>
  <c r="AD17" i="13"/>
  <c r="AC23" i="13"/>
  <c r="AD29" i="11"/>
  <c r="AD16" i="13"/>
  <c r="AC17" i="11"/>
  <c r="AD17" i="11"/>
  <c r="AD28" i="11"/>
  <c r="AD16" i="11"/>
  <c r="AD15" i="13"/>
  <c r="AD27" i="11"/>
  <c r="AD15" i="11"/>
  <c r="AD14" i="13"/>
  <c r="U27" i="6"/>
  <c r="X23" i="13"/>
  <c r="W25" i="13"/>
  <c r="T32" i="6"/>
  <c r="U32" i="6"/>
  <c r="U6" i="15"/>
  <c r="AG18" i="18"/>
  <c r="AG24" i="15"/>
  <c r="AG18" i="14"/>
  <c r="AG23" i="15"/>
  <c r="AG17" i="14"/>
  <c r="AG22" i="15"/>
  <c r="AG16" i="14"/>
  <c r="AG21" i="15"/>
  <c r="AG15" i="14"/>
  <c r="AG14" i="14"/>
  <c r="AG20" i="14"/>
  <c r="AG19" i="15"/>
  <c r="AG13" i="14"/>
  <c r="AG18" i="15"/>
  <c r="AG17" i="15"/>
  <c r="AG16" i="15"/>
  <c r="AG27" i="15"/>
  <c r="AG15" i="15"/>
  <c r="AG21" i="14"/>
  <c r="AG26" i="15"/>
  <c r="AG14" i="15"/>
  <c r="AG25" i="15"/>
  <c r="AG13" i="15"/>
  <c r="AG19" i="14"/>
  <c r="AG30" i="11"/>
  <c r="AG18" i="11"/>
  <c r="AG14" i="13"/>
  <c r="AG29" i="11"/>
  <c r="AG13" i="13"/>
  <c r="AG28" i="11"/>
  <c r="AG16" i="11"/>
  <c r="AG27" i="11"/>
  <c r="AG15" i="11"/>
  <c r="AG18" i="13"/>
  <c r="AG26" i="11"/>
  <c r="AG14" i="11"/>
  <c r="AG22" i="13"/>
  <c r="AG25" i="11"/>
  <c r="AG21" i="13"/>
  <c r="AF24" i="10"/>
  <c r="AF26" i="10"/>
  <c r="AG24" i="11"/>
  <c r="AG20" i="13"/>
  <c r="AF23" i="13"/>
  <c r="AG23" i="11"/>
  <c r="AF13" i="11"/>
  <c r="AG19" i="13"/>
  <c r="AG22" i="11"/>
  <c r="AF17" i="11"/>
  <c r="AG17" i="11"/>
  <c r="AG21" i="11"/>
  <c r="AG17" i="13"/>
  <c r="AG32" i="11"/>
  <c r="AG20" i="11"/>
  <c r="AG16" i="13"/>
  <c r="AF20" i="15"/>
  <c r="AG31" i="11"/>
  <c r="AG19" i="11"/>
  <c r="AG15" i="13"/>
  <c r="Q32" i="6"/>
  <c r="R32" i="6"/>
  <c r="R6" i="15"/>
  <c r="W27" i="6"/>
  <c r="X6" i="10"/>
  <c r="T28" i="6"/>
  <c r="U28" i="6"/>
  <c r="U6" i="11"/>
  <c r="X24" i="10"/>
  <c r="O18" i="15"/>
  <c r="O17" i="14"/>
  <c r="O17" i="15"/>
  <c r="O16" i="15"/>
  <c r="O19" i="14"/>
  <c r="O27" i="15"/>
  <c r="O15" i="15"/>
  <c r="O21" i="14"/>
  <c r="O15" i="14"/>
  <c r="O26" i="15"/>
  <c r="O14" i="15"/>
  <c r="O20" i="14"/>
  <c r="O25" i="15"/>
  <c r="O13" i="15"/>
  <c r="O18" i="14"/>
  <c r="O24" i="15"/>
  <c r="O23" i="15"/>
  <c r="O14" i="14"/>
  <c r="O22" i="15"/>
  <c r="O16" i="14"/>
  <c r="O21" i="15"/>
  <c r="O19" i="15"/>
  <c r="O13" i="14"/>
  <c r="O29" i="11"/>
  <c r="O20" i="13"/>
  <c r="O28" i="11"/>
  <c r="O16" i="11"/>
  <c r="N13" i="11"/>
  <c r="O19" i="13"/>
  <c r="N23" i="13"/>
  <c r="N24" i="10"/>
  <c r="O27" i="11"/>
  <c r="O15" i="11"/>
  <c r="O18" i="13"/>
  <c r="N17" i="11"/>
  <c r="O17" i="11"/>
  <c r="O26" i="11"/>
  <c r="O14" i="11"/>
  <c r="O17" i="13"/>
  <c r="O25" i="11"/>
  <c r="O16" i="13"/>
  <c r="N20" i="15"/>
  <c r="O24" i="11"/>
  <c r="O15" i="13"/>
  <c r="O22" i="13"/>
  <c r="O23" i="11"/>
  <c r="O14" i="13"/>
  <c r="O22" i="11"/>
  <c r="O13" i="13"/>
  <c r="O21" i="11"/>
  <c r="O32" i="11"/>
  <c r="O20" i="11"/>
  <c r="O31" i="11"/>
  <c r="O19" i="11"/>
  <c r="O30" i="11"/>
  <c r="O18" i="11"/>
  <c r="O21" i="13"/>
  <c r="F14" i="15"/>
  <c r="F26" i="15"/>
  <c r="F20" i="14"/>
  <c r="F15" i="15"/>
  <c r="F27" i="15"/>
  <c r="F21" i="14"/>
  <c r="F15" i="14"/>
  <c r="F13" i="16"/>
  <c r="F16" i="15"/>
  <c r="F13" i="15"/>
  <c r="F13" i="14"/>
  <c r="F17" i="15"/>
  <c r="F18" i="15"/>
  <c r="F14" i="14"/>
  <c r="F21" i="15"/>
  <c r="F19" i="15"/>
  <c r="F17" i="14"/>
  <c r="F18" i="14"/>
  <c r="F19" i="14"/>
  <c r="F22" i="15"/>
  <c r="F16" i="14"/>
  <c r="F23" i="15"/>
  <c r="F24" i="15"/>
  <c r="F25" i="15"/>
  <c r="F29" i="11"/>
  <c r="F20" i="13"/>
  <c r="F18" i="11"/>
  <c r="F30" i="11"/>
  <c r="F21" i="13"/>
  <c r="F25" i="11"/>
  <c r="F19" i="11"/>
  <c r="F31" i="11"/>
  <c r="F22" i="13"/>
  <c r="F20" i="11"/>
  <c r="F32" i="11"/>
  <c r="F13" i="17"/>
  <c r="F21" i="11"/>
  <c r="E13" i="11"/>
  <c r="F13" i="13"/>
  <c r="E23" i="13"/>
  <c r="E24" i="10"/>
  <c r="E26" i="10"/>
  <c r="F22" i="11"/>
  <c r="F16" i="13"/>
  <c r="E17" i="11"/>
  <c r="F17" i="11"/>
  <c r="F23" i="11"/>
  <c r="F14" i="13"/>
  <c r="F24" i="11"/>
  <c r="F15" i="13"/>
  <c r="F19" i="13"/>
  <c r="E20" i="15"/>
  <c r="F14" i="11"/>
  <c r="F26" i="11"/>
  <c r="F17" i="13"/>
  <c r="F18" i="13"/>
  <c r="F15" i="11"/>
  <c r="F27" i="11"/>
  <c r="F16" i="11"/>
  <c r="F28" i="11"/>
  <c r="T30" i="6"/>
  <c r="U30" i="6"/>
  <c r="U6" i="13"/>
  <c r="Q28" i="6"/>
  <c r="R28" i="6"/>
  <c r="R6" i="11"/>
  <c r="L6" i="6"/>
  <c r="AJ23" i="13"/>
  <c r="R6" i="13"/>
  <c r="Q30" i="6"/>
  <c r="R30" i="6"/>
  <c r="L23" i="10"/>
  <c r="AJ98" i="5"/>
  <c r="AC98" i="5"/>
  <c r="AC106" i="5"/>
  <c r="AC114" i="5"/>
  <c r="Q106" i="5"/>
  <c r="AG22" i="17"/>
  <c r="AG17" i="10"/>
  <c r="AG21" i="18"/>
  <c r="AL12" i="7"/>
  <c r="L27" i="16"/>
  <c r="AG29" i="16"/>
  <c r="AG25" i="8"/>
  <c r="L18" i="10"/>
  <c r="L50" i="8"/>
  <c r="L48" i="8"/>
  <c r="AD19" i="10"/>
  <c r="X45" i="8"/>
  <c r="L29" i="6"/>
  <c r="L31" i="6"/>
  <c r="AD14" i="8"/>
  <c r="AD13" i="18"/>
  <c r="AD15" i="17"/>
  <c r="AD24" i="18"/>
  <c r="AD66" i="8"/>
  <c r="AD38" i="9"/>
  <c r="AD16" i="16"/>
  <c r="AD20" i="10"/>
  <c r="AD14" i="18"/>
  <c r="AD13" i="8"/>
  <c r="AD31" i="8"/>
  <c r="AD61" i="8"/>
  <c r="AD19" i="6"/>
  <c r="AD28" i="16"/>
  <c r="AD21" i="18"/>
  <c r="AD16" i="17"/>
  <c r="AD21" i="6"/>
  <c r="AD43" i="8"/>
  <c r="AD18" i="8"/>
  <c r="AD67" i="8"/>
  <c r="AD19" i="17"/>
  <c r="AD60" i="8"/>
  <c r="AD38" i="8"/>
  <c r="AD33" i="6"/>
  <c r="AD18" i="18"/>
  <c r="AD21" i="10"/>
  <c r="AD56" i="8"/>
  <c r="AD24" i="17"/>
  <c r="AD31" i="16"/>
  <c r="AD18" i="10"/>
  <c r="AD12" i="8"/>
  <c r="AD26" i="16"/>
  <c r="AD18" i="16"/>
  <c r="AD17" i="16"/>
  <c r="AD22" i="10"/>
  <c r="AD17" i="17"/>
  <c r="AD21" i="17"/>
  <c r="AD14" i="10"/>
  <c r="AD20" i="6"/>
  <c r="AD15" i="8"/>
  <c r="AD44" i="8"/>
  <c r="AD21" i="16"/>
  <c r="L17" i="16"/>
  <c r="L15" i="10"/>
  <c r="L13" i="17"/>
  <c r="L20" i="6"/>
  <c r="L43" i="8"/>
  <c r="L12" i="8"/>
  <c r="L16" i="18"/>
  <c r="L19" i="10"/>
  <c r="L31" i="8"/>
  <c r="L62" i="8"/>
  <c r="L22" i="16"/>
  <c r="L21" i="6"/>
  <c r="L25" i="8"/>
  <c r="L26" i="16"/>
  <c r="L17" i="10"/>
  <c r="L24" i="10"/>
  <c r="L49" i="8"/>
  <c r="L18" i="17"/>
  <c r="L13" i="10"/>
  <c r="L22" i="17"/>
  <c r="L20" i="8"/>
  <c r="L14" i="8"/>
  <c r="L21" i="10"/>
  <c r="L29" i="16"/>
  <c r="L14" i="16"/>
  <c r="L21" i="18"/>
  <c r="L31" i="16"/>
  <c r="L17" i="17"/>
  <c r="L16" i="16"/>
  <c r="L36" i="8"/>
  <c r="L18" i="16"/>
  <c r="L23" i="16"/>
  <c r="L19" i="17"/>
  <c r="L67" i="8"/>
  <c r="L14" i="17"/>
  <c r="L13" i="16"/>
  <c r="L60" i="8"/>
  <c r="L18" i="18"/>
  <c r="L20" i="18"/>
  <c r="L20" i="16"/>
  <c r="L20" i="10"/>
  <c r="L15" i="8"/>
  <c r="L19" i="16"/>
  <c r="L24" i="17"/>
  <c r="L20" i="17"/>
  <c r="L15" i="17"/>
  <c r="L38" i="9"/>
  <c r="L14" i="18"/>
  <c r="L66" i="8"/>
  <c r="L56" i="8"/>
  <c r="L61" i="8"/>
  <c r="L28" i="16"/>
  <c r="L54" i="8"/>
  <c r="L44" i="8"/>
  <c r="L33" i="6"/>
  <c r="L14" i="10"/>
  <c r="L13" i="18"/>
  <c r="L25" i="16"/>
  <c r="L16" i="10"/>
  <c r="L24" i="8"/>
  <c r="L13" i="8"/>
  <c r="L22" i="18"/>
  <c r="L17" i="18"/>
  <c r="L24" i="16"/>
  <c r="L19" i="18"/>
  <c r="L38" i="8"/>
  <c r="L18" i="8"/>
  <c r="L68" i="8"/>
  <c r="L26" i="8"/>
  <c r="L21" i="17"/>
  <c r="L19" i="6"/>
  <c r="L24" i="18"/>
  <c r="L19" i="8"/>
  <c r="L16" i="17"/>
  <c r="L15" i="16"/>
  <c r="L42" i="8"/>
  <c r="L32" i="8"/>
  <c r="L30" i="8"/>
  <c r="AG21" i="16"/>
  <c r="AG19" i="6"/>
  <c r="AG67" i="8"/>
  <c r="AG12" i="8"/>
  <c r="AG49" i="8"/>
  <c r="AG16" i="17"/>
  <c r="AG13" i="18"/>
  <c r="AG33" i="6"/>
  <c r="AG31" i="8"/>
  <c r="AG27" i="16"/>
  <c r="AG18" i="17"/>
  <c r="AG19" i="18"/>
  <c r="AG15" i="18"/>
  <c r="AG15" i="8"/>
  <c r="AG66" i="8"/>
  <c r="AG61" i="8"/>
  <c r="AG31" i="16"/>
  <c r="AG24" i="8"/>
  <c r="AG16" i="10"/>
  <c r="AG42" i="8"/>
  <c r="AG24" i="16"/>
  <c r="AG43" i="8"/>
  <c r="AG14" i="8"/>
  <c r="AG13" i="10"/>
  <c r="AG15" i="16"/>
  <c r="AG20" i="16"/>
  <c r="AG13" i="16"/>
  <c r="AG25" i="16"/>
  <c r="AG20" i="17"/>
  <c r="AG24" i="18"/>
  <c r="AG28" i="16"/>
  <c r="AG20" i="10"/>
  <c r="AG22" i="16"/>
  <c r="AG17" i="18"/>
  <c r="AG23" i="10"/>
  <c r="AG21" i="6"/>
  <c r="AG19" i="8"/>
  <c r="AG62" i="8"/>
  <c r="AG19" i="16"/>
  <c r="AG48" i="8"/>
  <c r="AG20" i="8"/>
  <c r="AG60" i="8"/>
  <c r="AG38" i="9"/>
  <c r="AG24" i="17"/>
  <c r="AG18" i="10"/>
  <c r="AG14" i="17"/>
  <c r="AG24" i="10"/>
  <c r="AG37" i="8"/>
  <c r="AG16" i="16"/>
  <c r="AG20" i="6"/>
  <c r="AG14" i="10"/>
  <c r="AG17" i="16"/>
  <c r="AG21" i="10"/>
  <c r="AG23" i="16"/>
  <c r="AG15" i="10"/>
  <c r="AG55" i="8"/>
  <c r="AG68" i="8"/>
  <c r="AG20" i="18"/>
  <c r="AG19" i="10"/>
  <c r="AG15" i="17"/>
  <c r="AG17" i="17"/>
  <c r="AG19" i="17"/>
  <c r="AG14" i="16"/>
  <c r="AG18" i="8"/>
  <c r="AG6" i="6"/>
  <c r="AG18" i="16"/>
  <c r="AG32" i="8"/>
  <c r="AG14" i="18"/>
  <c r="AG16" i="18"/>
  <c r="AG26" i="16"/>
  <c r="AG29" i="6"/>
  <c r="AG36" i="8"/>
  <c r="AG26" i="8"/>
  <c r="AG13" i="17"/>
  <c r="AG50" i="8"/>
  <c r="AG13" i="8"/>
  <c r="AG38" i="8"/>
  <c r="AG21" i="17"/>
  <c r="AG31" i="6"/>
  <c r="AG54" i="8"/>
  <c r="AG44" i="8"/>
  <c r="AG22" i="18"/>
  <c r="AG22" i="10"/>
  <c r="AG30" i="8"/>
  <c r="AG56" i="8"/>
  <c r="AD36" i="8"/>
  <c r="AD20" i="18"/>
  <c r="AD32" i="8"/>
  <c r="AD16" i="18"/>
  <c r="AD29" i="6"/>
  <c r="AD54" i="8"/>
  <c r="AD25" i="8"/>
  <c r="AD13" i="17"/>
  <c r="AD19" i="8"/>
  <c r="AD29" i="16"/>
  <c r="AD24" i="8"/>
  <c r="AD23" i="16"/>
  <c r="AD55" i="8"/>
  <c r="AD26" i="8"/>
  <c r="AD42" i="8"/>
  <c r="AD14" i="17"/>
  <c r="AD37" i="8"/>
  <c r="AD30" i="8"/>
  <c r="AD24" i="16"/>
  <c r="AD16" i="10"/>
  <c r="AD31" i="6"/>
  <c r="AD20" i="17"/>
  <c r="AD19" i="16"/>
  <c r="AD23" i="10"/>
  <c r="AD13" i="16"/>
  <c r="AD15" i="16"/>
  <c r="AD68" i="8"/>
  <c r="AD19" i="18"/>
  <c r="AD22" i="17"/>
  <c r="AD22" i="16"/>
  <c r="AD25" i="16"/>
  <c r="AD20" i="16"/>
  <c r="AD49" i="8"/>
  <c r="AD15" i="18"/>
  <c r="AD27" i="16"/>
  <c r="AD22" i="18"/>
  <c r="AD24" i="10"/>
  <c r="AD20" i="8"/>
  <c r="AD18" i="17"/>
  <c r="AD17" i="10"/>
  <c r="AD62" i="8"/>
  <c r="AD6" i="6"/>
  <c r="AD50" i="8"/>
  <c r="AD48" i="8"/>
  <c r="AD15" i="10"/>
  <c r="AD17" i="18"/>
  <c r="AD13" i="10"/>
  <c r="Z14" i="6"/>
  <c r="Z14" i="10"/>
  <c r="X63" i="8"/>
  <c r="X27" i="8"/>
  <c r="X33" i="8"/>
  <c r="X51" i="8"/>
  <c r="X21" i="8"/>
  <c r="X39" i="8"/>
  <c r="X69" i="8"/>
  <c r="X57" i="8"/>
  <c r="X26" i="10"/>
  <c r="O19" i="10"/>
  <c r="O15" i="17"/>
  <c r="O20" i="16"/>
  <c r="O14" i="17"/>
  <c r="O19" i="16"/>
  <c r="O22" i="18"/>
  <c r="O13" i="17"/>
  <c r="O18" i="16"/>
  <c r="O21" i="18"/>
  <c r="O29" i="16"/>
  <c r="O17" i="16"/>
  <c r="O20" i="18"/>
  <c r="O28" i="16"/>
  <c r="O16" i="16"/>
  <c r="O19" i="18"/>
  <c r="O22" i="17"/>
  <c r="O27" i="16"/>
  <c r="O15" i="16"/>
  <c r="O18" i="18"/>
  <c r="O21" i="17"/>
  <c r="O26" i="16"/>
  <c r="O14" i="16"/>
  <c r="O17" i="18"/>
  <c r="O20" i="17"/>
  <c r="O25" i="16"/>
  <c r="O13" i="16"/>
  <c r="O16" i="18"/>
  <c r="O19" i="17"/>
  <c r="O24" i="16"/>
  <c r="O15" i="18"/>
  <c r="O18" i="17"/>
  <c r="O23" i="16"/>
  <c r="O14" i="18"/>
  <c r="O17" i="17"/>
  <c r="O22" i="16"/>
  <c r="O13" i="18"/>
  <c r="O16" i="17"/>
  <c r="O21" i="16"/>
  <c r="O24" i="17"/>
  <c r="O31" i="16"/>
  <c r="O24" i="18"/>
  <c r="L22" i="10"/>
  <c r="F38" i="9"/>
  <c r="F20" i="6"/>
  <c r="F21" i="6"/>
  <c r="F18" i="17"/>
  <c r="F30" i="8"/>
  <c r="F20" i="10"/>
  <c r="F19" i="16"/>
  <c r="F55" i="8"/>
  <c r="F44" i="8"/>
  <c r="F15" i="8"/>
  <c r="F67" i="8"/>
  <c r="F61" i="8"/>
  <c r="F31" i="6"/>
  <c r="F21" i="10"/>
  <c r="F19" i="10"/>
  <c r="F18" i="10"/>
  <c r="F42" i="8"/>
  <c r="F31" i="8"/>
  <c r="F20" i="8"/>
  <c r="F24" i="18"/>
  <c r="F56" i="8"/>
  <c r="F16" i="10"/>
  <c r="F15" i="10"/>
  <c r="F22" i="10"/>
  <c r="F14" i="18"/>
  <c r="F18" i="8"/>
  <c r="F49" i="8"/>
  <c r="F13" i="10"/>
  <c r="F14" i="10"/>
  <c r="F15" i="17"/>
  <c r="F16" i="17"/>
  <c r="F15" i="18"/>
  <c r="F37" i="8"/>
  <c r="F25" i="8"/>
  <c r="F17" i="18"/>
  <c r="F18" i="18"/>
  <c r="F19" i="18"/>
  <c r="F24" i="10"/>
  <c r="F23" i="10"/>
  <c r="F14" i="17"/>
  <c r="F16" i="16"/>
  <c r="F17" i="16"/>
  <c r="F17" i="17"/>
  <c r="F19" i="17"/>
  <c r="F20" i="17"/>
  <c r="F21" i="17"/>
  <c r="F20" i="18"/>
  <c r="F21" i="18"/>
  <c r="F22" i="18"/>
  <c r="F15" i="16"/>
  <c r="F28" i="16"/>
  <c r="F29" i="16"/>
  <c r="F18" i="16"/>
  <c r="F20" i="16"/>
  <c r="F21" i="16"/>
  <c r="F22" i="16"/>
  <c r="F22" i="17"/>
  <c r="F13" i="18"/>
  <c r="F27" i="16"/>
  <c r="F13" i="8"/>
  <c r="F19" i="8"/>
  <c r="F23" i="16"/>
  <c r="F24" i="16"/>
  <c r="F25" i="16"/>
  <c r="F14" i="16"/>
  <c r="F62" i="8"/>
  <c r="F6" i="6"/>
  <c r="F48" i="8"/>
  <c r="F66" i="8"/>
  <c r="F26" i="16"/>
  <c r="F17" i="10"/>
  <c r="F38" i="8"/>
  <c r="F60" i="8"/>
  <c r="F16" i="18"/>
  <c r="F24" i="8"/>
  <c r="F32" i="8"/>
  <c r="F19" i="6"/>
  <c r="F68" i="8"/>
  <c r="F36" i="8"/>
  <c r="F33" i="6"/>
  <c r="F31" i="16"/>
  <c r="F14" i="8"/>
  <c r="F43" i="8"/>
  <c r="F50" i="8"/>
  <c r="F12" i="8"/>
  <c r="F54" i="8"/>
  <c r="F29" i="6"/>
  <c r="F26" i="8"/>
  <c r="F24" i="17"/>
  <c r="AJ57" i="8"/>
  <c r="AJ63" i="8"/>
  <c r="AJ45" i="8"/>
  <c r="AJ33" i="8"/>
  <c r="AJ39" i="8"/>
  <c r="AJ21" i="8"/>
  <c r="AJ14" i="10"/>
  <c r="AI26" i="10"/>
  <c r="Q27" i="6"/>
  <c r="R6" i="10"/>
  <c r="O26" i="8"/>
  <c r="O19" i="8"/>
  <c r="O60" i="8"/>
  <c r="O16" i="10"/>
  <c r="O20" i="10"/>
  <c r="O43" i="8"/>
  <c r="O6" i="6"/>
  <c r="O49" i="8"/>
  <c r="O33" i="6"/>
  <c r="O56" i="8"/>
  <c r="O14" i="8"/>
  <c r="O12" i="8"/>
  <c r="O50" i="8"/>
  <c r="O24" i="10"/>
  <c r="O18" i="8"/>
  <c r="O66" i="8"/>
  <c r="O38" i="8"/>
  <c r="O19" i="6"/>
  <c r="O25" i="8"/>
  <c r="O21" i="10"/>
  <c r="O62" i="8"/>
  <c r="O18" i="10"/>
  <c r="O32" i="8"/>
  <c r="O17" i="10"/>
  <c r="O31" i="8"/>
  <c r="O15" i="8"/>
  <c r="O14" i="10"/>
  <c r="O30" i="8"/>
  <c r="O61" i="8"/>
  <c r="O68" i="8"/>
  <c r="O36" i="8"/>
  <c r="O67" i="8"/>
  <c r="O31" i="6"/>
  <c r="O13" i="8"/>
  <c r="O42" i="8"/>
  <c r="O13" i="10"/>
  <c r="O48" i="8"/>
  <c r="O29" i="6"/>
  <c r="O37" i="8"/>
  <c r="O44" i="8"/>
  <c r="O21" i="6"/>
  <c r="O38" i="9"/>
  <c r="O20" i="6"/>
  <c r="O24" i="8"/>
  <c r="O55" i="8"/>
  <c r="O22" i="10"/>
  <c r="O20" i="8"/>
  <c r="O54" i="8"/>
  <c r="O15" i="10"/>
  <c r="O23" i="10"/>
  <c r="E18" i="5"/>
  <c r="H14" i="6"/>
  <c r="H14" i="10"/>
  <c r="AV106" i="5"/>
  <c r="AO114" i="5"/>
  <c r="K26" i="10"/>
  <c r="F571" i="23"/>
  <c r="D570" i="23"/>
  <c r="D575" i="23"/>
  <c r="G575" i="23"/>
  <c r="F576" i="23"/>
  <c r="AJ51" i="8"/>
  <c r="AJ69" i="8"/>
  <c r="AI29" i="15"/>
  <c r="AL41" i="9"/>
  <c r="AL20" i="6"/>
  <c r="AL38" i="9"/>
  <c r="AP36" i="9"/>
  <c r="AP38" i="9"/>
  <c r="AM40" i="9"/>
  <c r="AP40" i="9"/>
  <c r="AQ40" i="9"/>
  <c r="AP7" i="8"/>
  <c r="E106" i="5"/>
  <c r="L106" i="5"/>
  <c r="AI34" i="11"/>
  <c r="AJ6" i="11"/>
  <c r="E98" i="5"/>
  <c r="AL14" i="6"/>
  <c r="AJ26" i="10"/>
  <c r="AJ106" i="5"/>
  <c r="F57" i="8"/>
  <c r="X27" i="6"/>
  <c r="AD13" i="11"/>
  <c r="AD34" i="11"/>
  <c r="AC34" i="11"/>
  <c r="O23" i="13"/>
  <c r="O25" i="13"/>
  <c r="N25" i="13"/>
  <c r="O20" i="15"/>
  <c r="N29" i="15"/>
  <c r="W28" i="6"/>
  <c r="X28" i="6"/>
  <c r="X6" i="11"/>
  <c r="AA37" i="8"/>
  <c r="AA18" i="15"/>
  <c r="AA23" i="15"/>
  <c r="AA17" i="15"/>
  <c r="AA16" i="15"/>
  <c r="AA27" i="15"/>
  <c r="AA15" i="15"/>
  <c r="AA21" i="14"/>
  <c r="AA17" i="14"/>
  <c r="AA26" i="15"/>
  <c r="AA14" i="15"/>
  <c r="AA20" i="14"/>
  <c r="AA25" i="15"/>
  <c r="AA13" i="15"/>
  <c r="AA19" i="14"/>
  <c r="AA14" i="14"/>
  <c r="AA24" i="15"/>
  <c r="AA18" i="14"/>
  <c r="AA13" i="14"/>
  <c r="AA22" i="15"/>
  <c r="AA16" i="14"/>
  <c r="AA21" i="15"/>
  <c r="AA15" i="14"/>
  <c r="AA19" i="15"/>
  <c r="AA22" i="11"/>
  <c r="Z20" i="15"/>
  <c r="AA21" i="11"/>
  <c r="AA32" i="11"/>
  <c r="AA20" i="11"/>
  <c r="AA22" i="13"/>
  <c r="AA31" i="11"/>
  <c r="AA19" i="11"/>
  <c r="AA21" i="13"/>
  <c r="AA30" i="11"/>
  <c r="AA18" i="11"/>
  <c r="AA20" i="13"/>
  <c r="AA29" i="11"/>
  <c r="AA19" i="13"/>
  <c r="AA16" i="13"/>
  <c r="AA28" i="11"/>
  <c r="AA16" i="11"/>
  <c r="AA18" i="13"/>
  <c r="Z23" i="13"/>
  <c r="AA27" i="11"/>
  <c r="AA15" i="11"/>
  <c r="AA17" i="13"/>
  <c r="Z24" i="10"/>
  <c r="Z26" i="10"/>
  <c r="AA26" i="11"/>
  <c r="AA14" i="11"/>
  <c r="AA25" i="11"/>
  <c r="Z13" i="11"/>
  <c r="AA15" i="13"/>
  <c r="AA24" i="11"/>
  <c r="AA14" i="13"/>
  <c r="Z17" i="11"/>
  <c r="AA17" i="11"/>
  <c r="AA23" i="11"/>
  <c r="AA13" i="13"/>
  <c r="O13" i="11"/>
  <c r="O34" i="11"/>
  <c r="N34" i="11"/>
  <c r="AJ6" i="13"/>
  <c r="AI30" i="6"/>
  <c r="AJ30" i="6"/>
  <c r="AG13" i="11"/>
  <c r="AG34" i="11"/>
  <c r="AF34" i="11"/>
  <c r="W30" i="6"/>
  <c r="X30" i="6"/>
  <c r="X6" i="13"/>
  <c r="AD20" i="15"/>
  <c r="AD29" i="15"/>
  <c r="AC29" i="15"/>
  <c r="I24" i="15"/>
  <c r="I18" i="14"/>
  <c r="I23" i="15"/>
  <c r="I17" i="14"/>
  <c r="I13" i="14"/>
  <c r="I21" i="14"/>
  <c r="I22" i="15"/>
  <c r="I16" i="14"/>
  <c r="I21" i="15"/>
  <c r="I15" i="14"/>
  <c r="I14" i="14"/>
  <c r="I20" i="14"/>
  <c r="I19" i="15"/>
  <c r="I18" i="15"/>
  <c r="I17" i="15"/>
  <c r="I19" i="14"/>
  <c r="I16" i="15"/>
  <c r="I27" i="15"/>
  <c r="I15" i="15"/>
  <c r="I26" i="15"/>
  <c r="I14" i="15"/>
  <c r="I25" i="15"/>
  <c r="I13" i="15"/>
  <c r="I21" i="11"/>
  <c r="I18" i="13"/>
  <c r="I32" i="11"/>
  <c r="I20" i="11"/>
  <c r="I17" i="13"/>
  <c r="I19" i="13"/>
  <c r="I31" i="11"/>
  <c r="I19" i="11"/>
  <c r="I16" i="13"/>
  <c r="I22" i="13"/>
  <c r="I30" i="11"/>
  <c r="I18" i="11"/>
  <c r="H13" i="11"/>
  <c r="I15" i="13"/>
  <c r="H23" i="13"/>
  <c r="H24" i="10"/>
  <c r="I29" i="11"/>
  <c r="I14" i="13"/>
  <c r="H17" i="11"/>
  <c r="I17" i="11"/>
  <c r="I28" i="11"/>
  <c r="I16" i="11"/>
  <c r="I13" i="13"/>
  <c r="I27" i="11"/>
  <c r="I15" i="11"/>
  <c r="H20" i="15"/>
  <c r="I26" i="11"/>
  <c r="I14" i="11"/>
  <c r="I20" i="13"/>
  <c r="I25" i="11"/>
  <c r="I24" i="11"/>
  <c r="I21" i="13"/>
  <c r="I23" i="11"/>
  <c r="I22" i="11"/>
  <c r="AD23" i="13"/>
  <c r="AD25" i="13"/>
  <c r="AC25" i="13"/>
  <c r="K27" i="6"/>
  <c r="L6" i="10"/>
  <c r="E27" i="6"/>
  <c r="F6" i="10"/>
  <c r="B9" i="10"/>
  <c r="AG23" i="13"/>
  <c r="AG25" i="13"/>
  <c r="AF25" i="13"/>
  <c r="L23" i="13"/>
  <c r="K25" i="13"/>
  <c r="AI32" i="6"/>
  <c r="AJ32" i="6"/>
  <c r="AJ6" i="15"/>
  <c r="F23" i="13"/>
  <c r="F25" i="13"/>
  <c r="E25" i="13"/>
  <c r="AG20" i="15"/>
  <c r="AG29" i="15"/>
  <c r="AF29" i="15"/>
  <c r="T34" i="6"/>
  <c r="U34" i="6"/>
  <c r="L20" i="15"/>
  <c r="K29" i="15"/>
  <c r="L13" i="11"/>
  <c r="L34" i="11"/>
  <c r="K34" i="11"/>
  <c r="W32" i="6"/>
  <c r="X32" i="6"/>
  <c r="X6" i="15"/>
  <c r="F20" i="15"/>
  <c r="E29" i="15"/>
  <c r="F13" i="11"/>
  <c r="F34" i="11"/>
  <c r="E34" i="11"/>
  <c r="AG6" i="10"/>
  <c r="AF27" i="6"/>
  <c r="AC27" i="6"/>
  <c r="AD6" i="10"/>
  <c r="X106" i="5"/>
  <c r="Q114" i="5"/>
  <c r="L51" i="8"/>
  <c r="L57" i="8"/>
  <c r="L45" i="8"/>
  <c r="AA6" i="6"/>
  <c r="AA21" i="6"/>
  <c r="L39" i="8"/>
  <c r="L63" i="8"/>
  <c r="L21" i="8"/>
  <c r="L33" i="8"/>
  <c r="AD69" i="8"/>
  <c r="AA19" i="18"/>
  <c r="AA21" i="10"/>
  <c r="AA13" i="10"/>
  <c r="L27" i="8"/>
  <c r="AD39" i="8"/>
  <c r="AD27" i="8"/>
  <c r="AD33" i="8"/>
  <c r="L69" i="8"/>
  <c r="L26" i="10"/>
  <c r="AG69" i="8"/>
  <c r="AD63" i="8"/>
  <c r="AD45" i="8"/>
  <c r="AA19" i="17"/>
  <c r="AA20" i="8"/>
  <c r="AA17" i="17"/>
  <c r="AA36" i="8"/>
  <c r="AA22" i="18"/>
  <c r="AA68" i="8"/>
  <c r="AA25" i="8"/>
  <c r="AA27" i="16"/>
  <c r="AA24" i="16"/>
  <c r="AA22" i="16"/>
  <c r="AA22" i="10"/>
  <c r="AA38" i="8"/>
  <c r="AA12" i="8"/>
  <c r="AA31" i="16"/>
  <c r="AA15" i="8"/>
  <c r="AA17" i="16"/>
  <c r="AA21" i="17"/>
  <c r="AA13" i="17"/>
  <c r="AA18" i="10"/>
  <c r="AA13" i="18"/>
  <c r="AA24" i="8"/>
  <c r="AA42" i="8"/>
  <c r="AA15" i="16"/>
  <c r="AA55" i="8"/>
  <c r="AA60" i="8"/>
  <c r="AA50" i="8"/>
  <c r="AA18" i="18"/>
  <c r="AA20" i="18"/>
  <c r="AA24" i="18"/>
  <c r="AA18" i="16"/>
  <c r="AA13" i="16"/>
  <c r="AA26" i="8"/>
  <c r="AA56" i="8"/>
  <c r="AA29" i="6"/>
  <c r="AA20" i="16"/>
  <c r="AA54" i="8"/>
  <c r="AA20" i="6"/>
  <c r="AA33" i="6"/>
  <c r="AA14" i="10"/>
  <c r="AA23" i="10"/>
  <c r="AA25" i="16"/>
  <c r="AA24" i="17"/>
  <c r="AA44" i="8"/>
  <c r="AA19" i="10"/>
  <c r="AG45" i="8"/>
  <c r="AG27" i="8"/>
  <c r="AG33" i="8"/>
  <c r="AG63" i="8"/>
  <c r="AG39" i="8"/>
  <c r="AG21" i="8"/>
  <c r="AG51" i="8"/>
  <c r="AG57" i="8"/>
  <c r="AG26" i="10"/>
  <c r="AD21" i="8"/>
  <c r="AD57" i="8"/>
  <c r="AD26" i="10"/>
  <c r="AD51" i="8"/>
  <c r="AA15" i="17"/>
  <c r="AA31" i="6"/>
  <c r="AA13" i="8"/>
  <c r="AA38" i="9"/>
  <c r="AA43" i="8"/>
  <c r="AA66" i="8"/>
  <c r="AA17" i="10"/>
  <c r="AA16" i="10"/>
  <c r="AA14" i="17"/>
  <c r="AA61" i="8"/>
  <c r="AA14" i="18"/>
  <c r="AA16" i="18"/>
  <c r="AA29" i="16"/>
  <c r="AA16" i="17"/>
  <c r="AA17" i="18"/>
  <c r="AA22" i="17"/>
  <c r="AA14" i="8"/>
  <c r="AA49" i="8"/>
  <c r="AA16" i="16"/>
  <c r="AA19" i="6"/>
  <c r="AA20" i="10"/>
  <c r="AA19" i="16"/>
  <c r="AA18" i="17"/>
  <c r="AA15" i="10"/>
  <c r="AA14" i="16"/>
  <c r="AA31" i="8"/>
  <c r="AA28" i="16"/>
  <c r="AA30" i="8"/>
  <c r="AA21" i="16"/>
  <c r="AA20" i="17"/>
  <c r="AA21" i="18"/>
  <c r="AA15" i="18"/>
  <c r="AA19" i="8"/>
  <c r="AA26" i="16"/>
  <c r="AA62" i="8"/>
  <c r="AA32" i="8"/>
  <c r="AA48" i="8"/>
  <c r="AA23" i="16"/>
  <c r="AA18" i="8"/>
  <c r="AA67" i="8"/>
  <c r="I22" i="18"/>
  <c r="I21" i="17"/>
  <c r="I22" i="16"/>
  <c r="I21" i="18"/>
  <c r="I20" i="17"/>
  <c r="I21" i="16"/>
  <c r="I20" i="18"/>
  <c r="I19" i="17"/>
  <c r="I20" i="16"/>
  <c r="I19" i="18"/>
  <c r="I18" i="17"/>
  <c r="I19" i="16"/>
  <c r="I18" i="18"/>
  <c r="I17" i="17"/>
  <c r="I18" i="16"/>
  <c r="I17" i="18"/>
  <c r="I16" i="17"/>
  <c r="I29" i="16"/>
  <c r="I17" i="16"/>
  <c r="I16" i="18"/>
  <c r="I15" i="17"/>
  <c r="I28" i="16"/>
  <c r="I16" i="16"/>
  <c r="I15" i="18"/>
  <c r="I14" i="17"/>
  <c r="I27" i="16"/>
  <c r="I15" i="16"/>
  <c r="I14" i="18"/>
  <c r="I13" i="17"/>
  <c r="I26" i="16"/>
  <c r="I14" i="16"/>
  <c r="I13" i="18"/>
  <c r="I25" i="16"/>
  <c r="I13" i="16"/>
  <c r="I24" i="16"/>
  <c r="I22" i="17"/>
  <c r="I23" i="16"/>
  <c r="I24" i="17"/>
  <c r="I24" i="18"/>
  <c r="I31" i="16"/>
  <c r="O36" i="9"/>
  <c r="F39" i="8"/>
  <c r="AJ23" i="14"/>
  <c r="I23" i="9"/>
  <c r="AD36" i="9"/>
  <c r="AG23" i="9"/>
  <c r="R23" i="14"/>
  <c r="AG36" i="9"/>
  <c r="X25" i="13"/>
  <c r="F23" i="14"/>
  <c r="U36" i="9"/>
  <c r="L36" i="9"/>
  <c r="R25" i="13"/>
  <c r="AM36" i="9"/>
  <c r="AD23" i="14"/>
  <c r="AD23" i="9"/>
  <c r="L23" i="14"/>
  <c r="F26" i="10"/>
  <c r="X23" i="14"/>
  <c r="F36" i="9"/>
  <c r="AJ36" i="9"/>
  <c r="F29" i="15"/>
  <c r="X36" i="9"/>
  <c r="X23" i="9"/>
  <c r="F63" i="8"/>
  <c r="L25" i="13"/>
  <c r="U25" i="13"/>
  <c r="F27" i="8"/>
  <c r="AA23" i="9"/>
  <c r="R34" i="11"/>
  <c r="AJ29" i="15"/>
  <c r="O29" i="15"/>
  <c r="F33" i="8"/>
  <c r="AG23" i="14"/>
  <c r="L29" i="15"/>
  <c r="R29" i="15"/>
  <c r="L23" i="9"/>
  <c r="I36" i="9"/>
  <c r="AA36" i="9"/>
  <c r="F69" i="8"/>
  <c r="O23" i="14"/>
  <c r="AM23" i="9"/>
  <c r="U23" i="14"/>
  <c r="X29" i="15"/>
  <c r="F23" i="9"/>
  <c r="U23" i="9"/>
  <c r="F51" i="8"/>
  <c r="AJ23" i="9"/>
  <c r="X34" i="11"/>
  <c r="F45" i="8"/>
  <c r="O23" i="9"/>
  <c r="R36" i="9"/>
  <c r="U29" i="15"/>
  <c r="AJ25" i="13"/>
  <c r="U34" i="11"/>
  <c r="F21" i="8"/>
  <c r="R23" i="9"/>
  <c r="AJ34" i="11"/>
  <c r="AI27" i="6"/>
  <c r="AJ6" i="10"/>
  <c r="Q34" i="6"/>
  <c r="R34" i="6"/>
  <c r="R27" i="6"/>
  <c r="O21" i="8"/>
  <c r="O39" i="8"/>
  <c r="O33" i="8"/>
  <c r="O51" i="8"/>
  <c r="O27" i="8"/>
  <c r="O63" i="8"/>
  <c r="N26" i="10"/>
  <c r="O6" i="10"/>
  <c r="O69" i="8"/>
  <c r="O45" i="8"/>
  <c r="O57" i="8"/>
  <c r="O26" i="10"/>
  <c r="L18" i="5"/>
  <c r="AP13" i="6"/>
  <c r="J10" i="21"/>
  <c r="AT114" i="5"/>
  <c r="AH114" i="5"/>
  <c r="AP12" i="6"/>
  <c r="E114" i="5"/>
  <c r="J114" i="5"/>
  <c r="I66" i="8"/>
  <c r="I32" i="8"/>
  <c r="I24" i="10"/>
  <c r="I67" i="8"/>
  <c r="I36" i="8"/>
  <c r="I23" i="10"/>
  <c r="I61" i="8"/>
  <c r="I30" i="8"/>
  <c r="I18" i="10"/>
  <c r="I62" i="8"/>
  <c r="I31" i="8"/>
  <c r="I13" i="8"/>
  <c r="I12" i="8"/>
  <c r="I22" i="10"/>
  <c r="I38" i="8"/>
  <c r="I21" i="10"/>
  <c r="I56" i="8"/>
  <c r="I25" i="8"/>
  <c r="I20" i="10"/>
  <c r="I60" i="8"/>
  <c r="I26" i="8"/>
  <c r="I19" i="10"/>
  <c r="I54" i="8"/>
  <c r="I20" i="8"/>
  <c r="I55" i="8"/>
  <c r="I24" i="8"/>
  <c r="I31" i="6"/>
  <c r="I20" i="6"/>
  <c r="I50" i="8"/>
  <c r="I15" i="10"/>
  <c r="I15" i="8"/>
  <c r="I48" i="8"/>
  <c r="I14" i="8"/>
  <c r="I19" i="6"/>
  <c r="I42" i="8"/>
  <c r="I43" i="8"/>
  <c r="I38" i="9"/>
  <c r="I29" i="6"/>
  <c r="I17" i="10"/>
  <c r="I49" i="8"/>
  <c r="I18" i="8"/>
  <c r="I16" i="10"/>
  <c r="I19" i="8"/>
  <c r="I44" i="8"/>
  <c r="I33" i="6"/>
  <c r="I21" i="6"/>
  <c r="I37" i="8"/>
  <c r="I6" i="6"/>
  <c r="I13" i="10"/>
  <c r="I68" i="8"/>
  <c r="I23" i="14"/>
  <c r="AI28" i="6"/>
  <c r="AJ28" i="6"/>
  <c r="AP14" i="6"/>
  <c r="AQ20" i="18"/>
  <c r="AL14" i="10"/>
  <c r="L98" i="5"/>
  <c r="AA23" i="14"/>
  <c r="B9" i="9"/>
  <c r="AF7" i="9"/>
  <c r="K7" i="9"/>
  <c r="T7" i="9"/>
  <c r="H7" i="9"/>
  <c r="AC7" i="9"/>
  <c r="AN7" i="9"/>
  <c r="AT7" i="9"/>
  <c r="BA7" i="9"/>
  <c r="Q7" i="9"/>
  <c r="N7" i="9"/>
  <c r="Z7" i="9"/>
  <c r="W7" i="9"/>
  <c r="AI7" i="9"/>
  <c r="AQ6" i="9"/>
  <c r="E7" i="9"/>
  <c r="AM6" i="9"/>
  <c r="AL7" i="9"/>
  <c r="AP20" i="6"/>
  <c r="AQ20" i="6"/>
  <c r="AL21" i="6"/>
  <c r="AP21" i="6"/>
  <c r="J16" i="21"/>
  <c r="AM41" i="9"/>
  <c r="AP41" i="9"/>
  <c r="AA24" i="10"/>
  <c r="F27" i="6"/>
  <c r="E32" i="6"/>
  <c r="F32" i="6"/>
  <c r="F6" i="15"/>
  <c r="E30" i="6"/>
  <c r="F30" i="6"/>
  <c r="F6" i="13"/>
  <c r="I20" i="15"/>
  <c r="I29" i="15"/>
  <c r="H29" i="15"/>
  <c r="I13" i="11"/>
  <c r="I34" i="11"/>
  <c r="H34" i="11"/>
  <c r="L27" i="6"/>
  <c r="N28" i="6"/>
  <c r="O28" i="6"/>
  <c r="O6" i="11"/>
  <c r="Z27" i="6"/>
  <c r="AA6" i="10"/>
  <c r="AC30" i="6"/>
  <c r="AD30" i="6"/>
  <c r="AD6" i="13"/>
  <c r="AM18" i="15"/>
  <c r="AM13" i="14"/>
  <c r="AM17" i="15"/>
  <c r="AM17" i="14"/>
  <c r="AM16" i="15"/>
  <c r="AM27" i="15"/>
  <c r="AM15" i="15"/>
  <c r="AM21" i="14"/>
  <c r="AM26" i="15"/>
  <c r="AM14" i="15"/>
  <c r="AM20" i="14"/>
  <c r="AM25" i="15"/>
  <c r="AM13" i="15"/>
  <c r="AM19" i="14"/>
  <c r="AM24" i="15"/>
  <c r="AM18" i="14"/>
  <c r="AM23" i="15"/>
  <c r="AM22" i="15"/>
  <c r="AM16" i="14"/>
  <c r="AM21" i="15"/>
  <c r="AM15" i="14"/>
  <c r="AM14" i="14"/>
  <c r="AM19" i="15"/>
  <c r="AM27" i="11"/>
  <c r="AM14" i="11"/>
  <c r="AM16" i="13"/>
  <c r="AM26" i="11"/>
  <c r="AM15" i="13"/>
  <c r="AM25" i="11"/>
  <c r="AM14" i="13"/>
  <c r="AM24" i="11"/>
  <c r="AM13" i="13"/>
  <c r="AM23" i="11"/>
  <c r="AM20" i="13"/>
  <c r="AM22" i="11"/>
  <c r="AL13" i="11"/>
  <c r="AL23" i="13"/>
  <c r="AL24" i="10"/>
  <c r="AM24" i="10"/>
  <c r="AM21" i="11"/>
  <c r="AM22" i="13"/>
  <c r="AL17" i="11"/>
  <c r="AM32" i="11"/>
  <c r="AM20" i="11"/>
  <c r="AM21" i="13"/>
  <c r="AM31" i="11"/>
  <c r="AM19" i="11"/>
  <c r="AL20" i="15"/>
  <c r="AM30" i="11"/>
  <c r="AM18" i="11"/>
  <c r="AM19" i="13"/>
  <c r="AM29" i="11"/>
  <c r="AM16" i="11"/>
  <c r="AM18" i="13"/>
  <c r="AM28" i="11"/>
  <c r="AM15" i="11"/>
  <c r="AM17" i="13"/>
  <c r="AC32" i="6"/>
  <c r="AD32" i="6"/>
  <c r="AD6" i="15"/>
  <c r="N32" i="6"/>
  <c r="O32" i="6"/>
  <c r="O6" i="15"/>
  <c r="K28" i="6"/>
  <c r="L28" i="6"/>
  <c r="L6" i="11"/>
  <c r="K30" i="6"/>
  <c r="L30" i="6"/>
  <c r="L6" i="13"/>
  <c r="AA23" i="13"/>
  <c r="AA25" i="13"/>
  <c r="Z25" i="13"/>
  <c r="N30" i="6"/>
  <c r="O30" i="6"/>
  <c r="O6" i="13"/>
  <c r="AD27" i="6"/>
  <c r="K32" i="6"/>
  <c r="L32" i="6"/>
  <c r="L6" i="15"/>
  <c r="AF30" i="6"/>
  <c r="AG30" i="6"/>
  <c r="AG6" i="13"/>
  <c r="AC28" i="6"/>
  <c r="AD28" i="6"/>
  <c r="AD6" i="11"/>
  <c r="AG27" i="6"/>
  <c r="AF28" i="6"/>
  <c r="AG28" i="6"/>
  <c r="AG6" i="11"/>
  <c r="AA13" i="11"/>
  <c r="AA34" i="11"/>
  <c r="Z34" i="11"/>
  <c r="E28" i="6"/>
  <c r="F28" i="6"/>
  <c r="F6" i="11"/>
  <c r="AF32" i="6"/>
  <c r="AG32" i="6"/>
  <c r="AG6" i="15"/>
  <c r="I23" i="13"/>
  <c r="I25" i="13"/>
  <c r="H25" i="13"/>
  <c r="AA20" i="15"/>
  <c r="AA29" i="15"/>
  <c r="Z29" i="15"/>
  <c r="W34" i="6"/>
  <c r="X34" i="6"/>
  <c r="AM18" i="18"/>
  <c r="AM18" i="16"/>
  <c r="AM17" i="17"/>
  <c r="AM62" i="8"/>
  <c r="AM32" i="8"/>
  <c r="AM26" i="8"/>
  <c r="AM68" i="8"/>
  <c r="AM56" i="8"/>
  <c r="AM23" i="16"/>
  <c r="AM13" i="17"/>
  <c r="AM13" i="18"/>
  <c r="AM26" i="16"/>
  <c r="AM55" i="8"/>
  <c r="AM33" i="6"/>
  <c r="AM19" i="8"/>
  <c r="AM61" i="8"/>
  <c r="AM37" i="8"/>
  <c r="AM23" i="10"/>
  <c r="AM27" i="16"/>
  <c r="AM43" i="8"/>
  <c r="AM38" i="9"/>
  <c r="AM22" i="16"/>
  <c r="AM20" i="17"/>
  <c r="AM14" i="16"/>
  <c r="AM48" i="8"/>
  <c r="AM22" i="10"/>
  <c r="AM12" i="8"/>
  <c r="AM54" i="8"/>
  <c r="AM21" i="10"/>
  <c r="AM30" i="8"/>
  <c r="AM15" i="8"/>
  <c r="AM15" i="10"/>
  <c r="AM22" i="18"/>
  <c r="AM17" i="18"/>
  <c r="AM29" i="16"/>
  <c r="AM21" i="18"/>
  <c r="AM38" i="8"/>
  <c r="AM18" i="10"/>
  <c r="AM29" i="6"/>
  <c r="AM44" i="8"/>
  <c r="AM42" i="8"/>
  <c r="AM13" i="8"/>
  <c r="AM31" i="16"/>
  <c r="AM15" i="16"/>
  <c r="AM49" i="8"/>
  <c r="AM21" i="16"/>
  <c r="AM17" i="16"/>
  <c r="AM16" i="17"/>
  <c r="AM31" i="8"/>
  <c r="AM19" i="6"/>
  <c r="AM20" i="10"/>
  <c r="AM16" i="18"/>
  <c r="AM19" i="17"/>
  <c r="AM25" i="16"/>
  <c r="AM24" i="8"/>
  <c r="AM17" i="10"/>
  <c r="AM20" i="6"/>
  <c r="AM31" i="6"/>
  <c r="AM14" i="18"/>
  <c r="AM66" i="8"/>
  <c r="AM36" i="8"/>
  <c r="AM20" i="18"/>
  <c r="AM20" i="16"/>
  <c r="AM28" i="16"/>
  <c r="AM13" i="16"/>
  <c r="AM14" i="8"/>
  <c r="AM13" i="10"/>
  <c r="AM25" i="8"/>
  <c r="AM20" i="8"/>
  <c r="AM6" i="6"/>
  <c r="AM19" i="16"/>
  <c r="AM50" i="8"/>
  <c r="AM21" i="6"/>
  <c r="AM16" i="10"/>
  <c r="AM15" i="17"/>
  <c r="AM15" i="18"/>
  <c r="AM16" i="16"/>
  <c r="AM24" i="18"/>
  <c r="AM67" i="8"/>
  <c r="AM24" i="16"/>
  <c r="AM22" i="17"/>
  <c r="AM18" i="17"/>
  <c r="AM24" i="17"/>
  <c r="AM19" i="10"/>
  <c r="AM60" i="8"/>
  <c r="AM19" i="18"/>
  <c r="AM14" i="17"/>
  <c r="AM18" i="8"/>
  <c r="AM21" i="17"/>
  <c r="AM14" i="10"/>
  <c r="AP11" i="6"/>
  <c r="J8" i="21"/>
  <c r="V114" i="5"/>
  <c r="J9" i="21"/>
  <c r="I24" i="22"/>
  <c r="I25" i="22"/>
  <c r="AA27" i="8"/>
  <c r="AA57" i="8"/>
  <c r="AA39" i="8"/>
  <c r="AA45" i="8"/>
  <c r="AA69" i="8"/>
  <c r="AA21" i="8"/>
  <c r="AA33" i="8"/>
  <c r="AA63" i="8"/>
  <c r="AA51" i="8"/>
  <c r="AA26" i="10"/>
  <c r="AQ17" i="18"/>
  <c r="AQ18" i="18"/>
  <c r="AQ19" i="18"/>
  <c r="AQ25" i="15"/>
  <c r="AQ19" i="13"/>
  <c r="AQ16" i="15"/>
  <c r="AQ21" i="17"/>
  <c r="AQ18" i="14"/>
  <c r="AQ20" i="14"/>
  <c r="AQ14" i="17"/>
  <c r="AQ16" i="14"/>
  <c r="AQ20" i="16"/>
  <c r="AQ17" i="13"/>
  <c r="AQ13" i="13"/>
  <c r="AQ21" i="16"/>
  <c r="AQ23" i="16"/>
  <c r="AQ14" i="14"/>
  <c r="AQ14" i="16"/>
  <c r="AQ16" i="11"/>
  <c r="AQ19" i="15"/>
  <c r="AQ21" i="15"/>
  <c r="AQ22" i="17"/>
  <c r="AQ24" i="16"/>
  <c r="AQ18" i="17"/>
  <c r="AQ15" i="14"/>
  <c r="AQ15" i="17"/>
  <c r="AQ17" i="17"/>
  <c r="AQ15" i="15"/>
  <c r="AQ26" i="16"/>
  <c r="AQ28" i="11"/>
  <c r="AQ17" i="16"/>
  <c r="AQ19" i="16"/>
  <c r="AQ14" i="11"/>
  <c r="AQ17" i="15"/>
  <c r="AQ31" i="11"/>
  <c r="AQ13" i="15"/>
  <c r="AQ22" i="11"/>
  <c r="AQ27" i="15"/>
  <c r="AQ29" i="16"/>
  <c r="AQ22" i="13"/>
  <c r="AQ18" i="11"/>
  <c r="AQ13" i="17"/>
  <c r="AQ22" i="15"/>
  <c r="AQ29" i="11"/>
  <c r="AQ20" i="11"/>
  <c r="AQ16" i="13"/>
  <c r="AQ24" i="11"/>
  <c r="AQ13" i="16"/>
  <c r="AQ20" i="17"/>
  <c r="AQ17" i="14"/>
  <c r="AQ30" i="11"/>
  <c r="C9" i="20"/>
  <c r="AQ19" i="11"/>
  <c r="AQ15" i="13"/>
  <c r="AQ32" i="11"/>
  <c r="AQ24" i="15"/>
  <c r="AQ18" i="13"/>
  <c r="AQ25" i="16"/>
  <c r="AQ15" i="11"/>
  <c r="AQ18" i="15"/>
  <c r="AQ19" i="14"/>
  <c r="AQ15" i="18"/>
  <c r="AQ26" i="11"/>
  <c r="AQ15" i="16"/>
  <c r="AQ27" i="16"/>
  <c r="AQ14" i="13"/>
  <c r="AQ22" i="16"/>
  <c r="AQ13" i="14"/>
  <c r="AQ19" i="17"/>
  <c r="AQ27" i="11"/>
  <c r="AQ16" i="16"/>
  <c r="AQ26" i="15"/>
  <c r="AQ20" i="13"/>
  <c r="AQ25" i="11"/>
  <c r="AQ21" i="14"/>
  <c r="AQ16" i="17"/>
  <c r="AQ14" i="15"/>
  <c r="AQ21" i="13"/>
  <c r="AQ28" i="16"/>
  <c r="AQ18" i="16"/>
  <c r="AQ24" i="18"/>
  <c r="AQ23" i="11"/>
  <c r="AQ21" i="11"/>
  <c r="AQ24" i="17"/>
  <c r="AQ31" i="16"/>
  <c r="AJ27" i="6"/>
  <c r="AI34" i="6"/>
  <c r="AJ34" i="6"/>
  <c r="N27" i="6"/>
  <c r="O27" i="6"/>
  <c r="I27" i="8"/>
  <c r="I21" i="8"/>
  <c r="I51" i="8"/>
  <c r="I14" i="10"/>
  <c r="I26" i="10"/>
  <c r="H26" i="10"/>
  <c r="AP14" i="10"/>
  <c r="AQ12" i="6"/>
  <c r="I45" i="8"/>
  <c r="I63" i="8"/>
  <c r="I57" i="8"/>
  <c r="I39" i="8"/>
  <c r="I69" i="8"/>
  <c r="AL7" i="6"/>
  <c r="AQ34" i="9"/>
  <c r="AQ20" i="9"/>
  <c r="AQ54" i="8"/>
  <c r="AQ30" i="8"/>
  <c r="AQ12" i="8"/>
  <c r="AQ38" i="9"/>
  <c r="AQ63" i="8"/>
  <c r="AQ39" i="8"/>
  <c r="N7" i="6"/>
  <c r="AQ15" i="9"/>
  <c r="AQ66" i="8"/>
  <c r="AQ42" i="8"/>
  <c r="AQ24" i="8"/>
  <c r="Q7" i="6"/>
  <c r="AQ69" i="8"/>
  <c r="AQ49" i="8"/>
  <c r="AQ19" i="6"/>
  <c r="AQ23" i="10"/>
  <c r="AQ22" i="10"/>
  <c r="AQ20" i="10"/>
  <c r="K7" i="6"/>
  <c r="AQ27" i="9"/>
  <c r="AQ26" i="8"/>
  <c r="AQ21" i="8"/>
  <c r="C9" i="6"/>
  <c r="AQ15" i="10"/>
  <c r="AF7" i="6"/>
  <c r="AQ14" i="9"/>
  <c r="AQ13" i="9"/>
  <c r="AQ45" i="8"/>
  <c r="AQ25" i="8"/>
  <c r="AI7" i="6"/>
  <c r="AQ31" i="9"/>
  <c r="AQ61" i="8"/>
  <c r="AQ37" i="8"/>
  <c r="AQ28" i="9"/>
  <c r="AQ17" i="9"/>
  <c r="AQ57" i="8"/>
  <c r="AQ33" i="8"/>
  <c r="AQ18" i="8"/>
  <c r="E7" i="6"/>
  <c r="AQ62" i="8"/>
  <c r="AQ38" i="8"/>
  <c r="AQ33" i="6"/>
  <c r="AQ6" i="6"/>
  <c r="AQ17" i="10"/>
  <c r="AQ16" i="10"/>
  <c r="AQ19" i="10"/>
  <c r="AQ36" i="8"/>
  <c r="AQ29" i="6"/>
  <c r="AQ21" i="10"/>
  <c r="H7" i="6"/>
  <c r="AQ30" i="9"/>
  <c r="AQ32" i="8"/>
  <c r="AQ67" i="8"/>
  <c r="Z7" i="6"/>
  <c r="AQ44" i="8"/>
  <c r="AQ33" i="9"/>
  <c r="AQ18" i="10"/>
  <c r="T7" i="6"/>
  <c r="AQ16" i="9"/>
  <c r="AQ68" i="8"/>
  <c r="AQ43" i="8"/>
  <c r="AQ20" i="8"/>
  <c r="W7" i="6"/>
  <c r="AQ35" i="9"/>
  <c r="AQ50" i="8"/>
  <c r="AQ19" i="8"/>
  <c r="AQ32" i="9"/>
  <c r="AQ19" i="9"/>
  <c r="AQ55" i="8"/>
  <c r="AQ31" i="8"/>
  <c r="AQ13" i="8"/>
  <c r="AQ29" i="9"/>
  <c r="AQ60" i="8"/>
  <c r="AQ31" i="6"/>
  <c r="AQ13" i="10"/>
  <c r="AQ18" i="9"/>
  <c r="AQ14" i="8"/>
  <c r="AQ48" i="8"/>
  <c r="AQ21" i="9"/>
  <c r="AC7" i="6"/>
  <c r="AQ51" i="8"/>
  <c r="AQ56" i="8"/>
  <c r="I33" i="8"/>
  <c r="AQ13" i="6"/>
  <c r="AQ23" i="15"/>
  <c r="AQ16" i="18"/>
  <c r="AQ14" i="18"/>
  <c r="AQ13" i="18"/>
  <c r="AQ22" i="18"/>
  <c r="AQ21" i="18"/>
  <c r="AM63" i="8"/>
  <c r="AQ41" i="9"/>
  <c r="AV20" i="6"/>
  <c r="AP7" i="9"/>
  <c r="AQ21" i="6"/>
  <c r="AF34" i="6"/>
  <c r="AG34" i="6"/>
  <c r="AM23" i="13"/>
  <c r="AM25" i="13"/>
  <c r="AL25" i="13"/>
  <c r="AP23" i="13"/>
  <c r="AM33" i="8"/>
  <c r="AM13" i="11"/>
  <c r="AP13" i="11"/>
  <c r="AL34" i="11"/>
  <c r="H32" i="6"/>
  <c r="I32" i="6"/>
  <c r="I6" i="15"/>
  <c r="AM20" i="15"/>
  <c r="AM29" i="15"/>
  <c r="AL29" i="15"/>
  <c r="AP20" i="15"/>
  <c r="Z30" i="6"/>
  <c r="AA30" i="6"/>
  <c r="AA6" i="13"/>
  <c r="AA27" i="6"/>
  <c r="Z28" i="6"/>
  <c r="AA28" i="6"/>
  <c r="AA6" i="11"/>
  <c r="Z32" i="6"/>
  <c r="AA32" i="6"/>
  <c r="AA6" i="15"/>
  <c r="AM17" i="11"/>
  <c r="AP17" i="11"/>
  <c r="AQ17" i="11"/>
  <c r="AM26" i="10"/>
  <c r="H30" i="6"/>
  <c r="I30" i="6"/>
  <c r="I6" i="13"/>
  <c r="K34" i="6"/>
  <c r="L34" i="6"/>
  <c r="E34" i="6"/>
  <c r="F34" i="6"/>
  <c r="AC34" i="6"/>
  <c r="AD34" i="6"/>
  <c r="AP24" i="10"/>
  <c r="AQ24" i="10"/>
  <c r="AL26" i="10"/>
  <c r="AM23" i="14"/>
  <c r="H28" i="6"/>
  <c r="I28" i="6"/>
  <c r="I6" i="11"/>
  <c r="AM27" i="8"/>
  <c r="AM21" i="8"/>
  <c r="AM45" i="8"/>
  <c r="AM57" i="8"/>
  <c r="AM39" i="8"/>
  <c r="AQ11" i="6"/>
  <c r="K11" i="6"/>
  <c r="J11" i="21"/>
  <c r="AM69" i="8"/>
  <c r="AM51" i="8"/>
  <c r="AQ23" i="14"/>
  <c r="N34" i="6"/>
  <c r="O34" i="6"/>
  <c r="AD38" i="6"/>
  <c r="AD39" i="6"/>
  <c r="AQ36" i="9"/>
  <c r="AQ14" i="10"/>
  <c r="X38" i="6"/>
  <c r="X39" i="6"/>
  <c r="F39" i="6"/>
  <c r="AP7" i="6"/>
  <c r="AS7" i="6"/>
  <c r="F38" i="6"/>
  <c r="AQ23" i="9"/>
  <c r="L38" i="6"/>
  <c r="L39" i="6"/>
  <c r="H27" i="6"/>
  <c r="I6" i="10"/>
  <c r="U38" i="6"/>
  <c r="U39" i="6"/>
  <c r="AJ38" i="6"/>
  <c r="AJ39" i="6"/>
  <c r="R39" i="6"/>
  <c r="R38" i="6"/>
  <c r="AI13" i="6"/>
  <c r="AF13" i="6"/>
  <c r="T13" i="6"/>
  <c r="E13" i="6"/>
  <c r="AC13" i="6"/>
  <c r="Q13" i="6"/>
  <c r="H13" i="6"/>
  <c r="AL13" i="6"/>
  <c r="N13" i="6"/>
  <c r="K13" i="6"/>
  <c r="Z13" i="6"/>
  <c r="W13" i="6"/>
  <c r="AA39" i="6"/>
  <c r="AA38" i="6"/>
  <c r="I39" i="6"/>
  <c r="I38" i="6"/>
  <c r="AG38" i="6"/>
  <c r="AG39" i="6"/>
  <c r="AQ27" i="8"/>
  <c r="O39" i="6"/>
  <c r="O38" i="6"/>
  <c r="AQ15" i="8"/>
  <c r="AI12" i="6"/>
  <c r="AF12" i="6"/>
  <c r="T12" i="6"/>
  <c r="E12" i="6"/>
  <c r="AC12" i="6"/>
  <c r="Q12" i="6"/>
  <c r="H12" i="6"/>
  <c r="AL12" i="6"/>
  <c r="N12" i="6"/>
  <c r="K12" i="6"/>
  <c r="Z12" i="6"/>
  <c r="W12" i="6"/>
  <c r="N11" i="6"/>
  <c r="AV19" i="6"/>
  <c r="AS19" i="6"/>
  <c r="AT19" i="6"/>
  <c r="AM34" i="11"/>
  <c r="AL28" i="6"/>
  <c r="AM6" i="11"/>
  <c r="AL11" i="6"/>
  <c r="AM11" i="6"/>
  <c r="Z34" i="6"/>
  <c r="AA34" i="6"/>
  <c r="AP34" i="11"/>
  <c r="AQ13" i="11"/>
  <c r="AQ34" i="11"/>
  <c r="AP26" i="10"/>
  <c r="Q7" i="10"/>
  <c r="AP25" i="13"/>
  <c r="AQ23" i="13"/>
  <c r="AQ25" i="13"/>
  <c r="Z11" i="6"/>
  <c r="Y11" i="7"/>
  <c r="AP29" i="15"/>
  <c r="AQ20" i="15"/>
  <c r="AQ29" i="15"/>
  <c r="AM6" i="13"/>
  <c r="AL30" i="6"/>
  <c r="AQ26" i="10"/>
  <c r="W11" i="6"/>
  <c r="X11" i="6"/>
  <c r="AI11" i="6"/>
  <c r="H11" i="6"/>
  <c r="I11" i="6"/>
  <c r="AL27" i="6"/>
  <c r="AM6" i="10"/>
  <c r="AL32" i="6"/>
  <c r="AM6" i="15"/>
  <c r="Q11" i="6"/>
  <c r="P11" i="7"/>
  <c r="T11" i="6"/>
  <c r="E11" i="6"/>
  <c r="AQ14" i="6"/>
  <c r="AF11" i="6"/>
  <c r="AG11" i="6"/>
  <c r="AC11" i="6"/>
  <c r="AD11" i="6"/>
  <c r="O12" i="6"/>
  <c r="M12" i="7"/>
  <c r="M20" i="7"/>
  <c r="N20" i="7"/>
  <c r="AB12" i="7"/>
  <c r="AB20" i="7"/>
  <c r="AC20" i="7"/>
  <c r="AD12" i="6"/>
  <c r="G13" i="7"/>
  <c r="I13" i="6"/>
  <c r="S13" i="7"/>
  <c r="U13" i="6"/>
  <c r="V12" i="7"/>
  <c r="V20" i="7"/>
  <c r="W20" i="7"/>
  <c r="X12" i="6"/>
  <c r="AK12" i="7"/>
  <c r="AM12" i="6"/>
  <c r="D12" i="7"/>
  <c r="D20" i="7"/>
  <c r="F12" i="6"/>
  <c r="L13" i="6"/>
  <c r="J13" i="7"/>
  <c r="P13" i="7"/>
  <c r="R13" i="6"/>
  <c r="AE13" i="7"/>
  <c r="AG13" i="6"/>
  <c r="S11" i="7"/>
  <c r="U11" i="6"/>
  <c r="L11" i="6"/>
  <c r="J11" i="7"/>
  <c r="M11" i="7"/>
  <c r="O11" i="6"/>
  <c r="Y13" i="7"/>
  <c r="AA13" i="6"/>
  <c r="Y12" i="7"/>
  <c r="Y20" i="7"/>
  <c r="Z20" i="7"/>
  <c r="AA12" i="6"/>
  <c r="G12" i="7"/>
  <c r="G20" i="7"/>
  <c r="H20" i="7"/>
  <c r="I12" i="6"/>
  <c r="S12" i="7"/>
  <c r="S20" i="7"/>
  <c r="T20" i="7"/>
  <c r="U12" i="6"/>
  <c r="M13" i="7"/>
  <c r="O13" i="6"/>
  <c r="AB13" i="7"/>
  <c r="AD13" i="6"/>
  <c r="AH13" i="7"/>
  <c r="AJ13" i="6"/>
  <c r="H34" i="6"/>
  <c r="I27" i="6"/>
  <c r="AP39" i="6"/>
  <c r="AM39" i="6"/>
  <c r="AH12" i="7"/>
  <c r="AH20" i="7"/>
  <c r="AI20" i="7"/>
  <c r="AJ12" i="6"/>
  <c r="J12" i="7"/>
  <c r="J20" i="7"/>
  <c r="K20" i="7"/>
  <c r="L12" i="6"/>
  <c r="P12" i="7"/>
  <c r="P20" i="7"/>
  <c r="Q20" i="7"/>
  <c r="R12" i="6"/>
  <c r="AG12" i="6"/>
  <c r="AE12" i="7"/>
  <c r="AE20" i="7"/>
  <c r="AF20" i="7"/>
  <c r="V13" i="7"/>
  <c r="X13" i="6"/>
  <c r="AK13" i="7"/>
  <c r="AM13" i="6"/>
  <c r="D13" i="7"/>
  <c r="F13" i="6"/>
  <c r="AP38" i="6"/>
  <c r="J32" i="21"/>
  <c r="AM38" i="6"/>
  <c r="D11" i="7"/>
  <c r="F11" i="6"/>
  <c r="AJ11" i="6"/>
  <c r="AH11" i="7"/>
  <c r="E20" i="7"/>
  <c r="D62" i="7"/>
  <c r="G62" i="7"/>
  <c r="AS20" i="6"/>
  <c r="AT20" i="6"/>
  <c r="AK11" i="7"/>
  <c r="V11" i="7"/>
  <c r="R11" i="6"/>
  <c r="R14" i="6"/>
  <c r="N7" i="10"/>
  <c r="K7" i="10"/>
  <c r="AI7" i="10"/>
  <c r="AF7" i="10"/>
  <c r="AP7" i="10"/>
  <c r="AL7" i="10"/>
  <c r="AA11" i="6"/>
  <c r="AA14" i="6"/>
  <c r="AB11" i="7"/>
  <c r="AB18" i="7"/>
  <c r="AC18" i="7"/>
  <c r="AP32" i="6"/>
  <c r="AM32" i="6"/>
  <c r="AL34" i="6"/>
  <c r="AM34" i="6"/>
  <c r="AM27" i="6"/>
  <c r="AQ6" i="13"/>
  <c r="B9" i="13"/>
  <c r="AP7" i="13"/>
  <c r="AT7" i="13"/>
  <c r="BA7" i="13"/>
  <c r="Q7" i="13"/>
  <c r="T7" i="13"/>
  <c r="AI7" i="13"/>
  <c r="W7" i="13"/>
  <c r="K7" i="13"/>
  <c r="AF7" i="13"/>
  <c r="E7" i="13"/>
  <c r="AC7" i="13"/>
  <c r="N7" i="13"/>
  <c r="Z7" i="13"/>
  <c r="H7" i="13"/>
  <c r="AT7" i="11"/>
  <c r="BA7" i="11"/>
  <c r="AP7" i="11"/>
  <c r="B9" i="11"/>
  <c r="AQ6" i="11"/>
  <c r="T7" i="11"/>
  <c r="Q7" i="11"/>
  <c r="W7" i="11"/>
  <c r="AI7" i="11"/>
  <c r="K7" i="11"/>
  <c r="AF7" i="11"/>
  <c r="N7" i="11"/>
  <c r="E7" i="11"/>
  <c r="AC7" i="11"/>
  <c r="H7" i="11"/>
  <c r="Z7" i="11"/>
  <c r="AP27" i="6"/>
  <c r="J21" i="21"/>
  <c r="AQ6" i="10"/>
  <c r="T7" i="10"/>
  <c r="W7" i="10"/>
  <c r="AC7" i="10"/>
  <c r="AL7" i="13"/>
  <c r="AL7" i="15"/>
  <c r="AT7" i="15"/>
  <c r="BA7" i="15"/>
  <c r="AQ6" i="15"/>
  <c r="B9" i="15"/>
  <c r="AP7" i="15"/>
  <c r="T7" i="15"/>
  <c r="Q7" i="15"/>
  <c r="AI7" i="15"/>
  <c r="W7" i="15"/>
  <c r="N7" i="15"/>
  <c r="K7" i="15"/>
  <c r="E7" i="15"/>
  <c r="AC7" i="15"/>
  <c r="AF7" i="15"/>
  <c r="Z7" i="15"/>
  <c r="H7" i="15"/>
  <c r="H7" i="10"/>
  <c r="G11" i="7"/>
  <c r="G19" i="7"/>
  <c r="H19" i="7"/>
  <c r="Z7" i="10"/>
  <c r="AT7" i="10"/>
  <c r="BA7" i="10"/>
  <c r="AP30" i="6"/>
  <c r="AM30" i="6"/>
  <c r="AL7" i="11"/>
  <c r="E7" i="10"/>
  <c r="AP28" i="6"/>
  <c r="AM28" i="6"/>
  <c r="J44" i="21"/>
  <c r="J33" i="21"/>
  <c r="AE11" i="7"/>
  <c r="AE18" i="7"/>
  <c r="AF18" i="7"/>
  <c r="AQ39" i="6"/>
  <c r="AQ38" i="6"/>
  <c r="J34" i="21"/>
  <c r="I14" i="6"/>
  <c r="AD14" i="6"/>
  <c r="AH14" i="7"/>
  <c r="AH19" i="7"/>
  <c r="AI19" i="7"/>
  <c r="AH18" i="7"/>
  <c r="AI18" i="7"/>
  <c r="Y19" i="7"/>
  <c r="Z19" i="7"/>
  <c r="Y14" i="7"/>
  <c r="Y18" i="7"/>
  <c r="Z18" i="7"/>
  <c r="J18" i="7"/>
  <c r="K18" i="7"/>
  <c r="J14" i="7"/>
  <c r="J19" i="7"/>
  <c r="K19" i="7"/>
  <c r="P19" i="7"/>
  <c r="Q19" i="7"/>
  <c r="P14" i="7"/>
  <c r="P18" i="7"/>
  <c r="Q18" i="7"/>
  <c r="L14" i="6"/>
  <c r="AM14" i="6"/>
  <c r="F14" i="6"/>
  <c r="AO13" i="7"/>
  <c r="AP13" i="7"/>
  <c r="X14" i="6"/>
  <c r="O14" i="6"/>
  <c r="U14" i="6"/>
  <c r="AJ14" i="6"/>
  <c r="V19" i="7"/>
  <c r="W19" i="7"/>
  <c r="V18" i="7"/>
  <c r="W18" i="7"/>
  <c r="V14" i="7"/>
  <c r="AK18" i="7"/>
  <c r="AK19" i="7"/>
  <c r="AL19" i="7"/>
  <c r="AK14" i="7"/>
  <c r="D18" i="7"/>
  <c r="D14" i="7"/>
  <c r="D19" i="7"/>
  <c r="E19" i="7"/>
  <c r="I34" i="6"/>
  <c r="M19" i="7"/>
  <c r="N19" i="7"/>
  <c r="M18" i="7"/>
  <c r="N18" i="7"/>
  <c r="M14" i="7"/>
  <c r="S18" i="7"/>
  <c r="T18" i="7"/>
  <c r="S14" i="7"/>
  <c r="S19" i="7"/>
  <c r="T19" i="7"/>
  <c r="AK20" i="7"/>
  <c r="AL20" i="7"/>
  <c r="AO12" i="7"/>
  <c r="AG14" i="6"/>
  <c r="E18" i="7"/>
  <c r="D30" i="7"/>
  <c r="D58" i="7"/>
  <c r="AK61" i="7"/>
  <c r="G60" i="7"/>
  <c r="D61" i="7"/>
  <c r="AP34" i="6"/>
  <c r="AQ34" i="6"/>
  <c r="AB19" i="7"/>
  <c r="AC19" i="7"/>
  <c r="AB14" i="7"/>
  <c r="AC16" i="6"/>
  <c r="J22" i="21"/>
  <c r="AQ28" i="6"/>
  <c r="G18" i="7"/>
  <c r="AE14" i="7"/>
  <c r="AF14" i="7"/>
  <c r="AF16" i="7"/>
  <c r="G14" i="7"/>
  <c r="AE19" i="7"/>
  <c r="AF19" i="7"/>
  <c r="AO11" i="7"/>
  <c r="AO19" i="7"/>
  <c r="AQ27" i="6"/>
  <c r="J24" i="21"/>
  <c r="AQ30" i="6"/>
  <c r="J26" i="21"/>
  <c r="AQ32" i="6"/>
  <c r="N16" i="6"/>
  <c r="M16" i="7"/>
  <c r="N14" i="7"/>
  <c r="N16" i="7"/>
  <c r="M22" i="7"/>
  <c r="N22" i="7"/>
  <c r="N6" i="7"/>
  <c r="AL16" i="6"/>
  <c r="AK22" i="7"/>
  <c r="AL22" i="7"/>
  <c r="AL6" i="7"/>
  <c r="AK16" i="7"/>
  <c r="AL14" i="7"/>
  <c r="AL16" i="7"/>
  <c r="K16" i="6"/>
  <c r="K6" i="7"/>
  <c r="K14" i="7"/>
  <c r="K16" i="7"/>
  <c r="J22" i="7"/>
  <c r="K22" i="7"/>
  <c r="J16" i="7"/>
  <c r="D16" i="7"/>
  <c r="E14" i="7"/>
  <c r="E16" i="7"/>
  <c r="E16" i="6"/>
  <c r="E6" i="7"/>
  <c r="D22" i="7"/>
  <c r="E22" i="7"/>
  <c r="P16" i="7"/>
  <c r="Q16" i="6"/>
  <c r="P22" i="7"/>
  <c r="Q22" i="7"/>
  <c r="Q6" i="7"/>
  <c r="Q14" i="7"/>
  <c r="Q16" i="7"/>
  <c r="AL18" i="7"/>
  <c r="V16" i="7"/>
  <c r="V22" i="7"/>
  <c r="W22" i="7"/>
  <c r="W6" i="7"/>
  <c r="W16" i="6"/>
  <c r="W14" i="7"/>
  <c r="W16" i="7"/>
  <c r="T6" i="7"/>
  <c r="S22" i="7"/>
  <c r="T22" i="7"/>
  <c r="S16" i="7"/>
  <c r="T16" i="6"/>
  <c r="T14" i="7"/>
  <c r="T16" i="7"/>
  <c r="AO20" i="7"/>
  <c r="AP12" i="7"/>
  <c r="Z16" i="6"/>
  <c r="Y22" i="7"/>
  <c r="Z22" i="7"/>
  <c r="Z6" i="7"/>
  <c r="Z14" i="7"/>
  <c r="Z16" i="7"/>
  <c r="Y16" i="7"/>
  <c r="AI16" i="6"/>
  <c r="AH22" i="7"/>
  <c r="AI22" i="7"/>
  <c r="AH16" i="7"/>
  <c r="AI6" i="7"/>
  <c r="AI14" i="7"/>
  <c r="AI16" i="7"/>
  <c r="H16" i="6"/>
  <c r="H14" i="7"/>
  <c r="H16" i="7"/>
  <c r="G30" i="7"/>
  <c r="G28" i="7"/>
  <c r="H18" i="7"/>
  <c r="AO61" i="7"/>
  <c r="AK60" i="7"/>
  <c r="AK59" i="7"/>
  <c r="AK69" i="7"/>
  <c r="AK65" i="7"/>
  <c r="AK66" i="7"/>
  <c r="AO58" i="7"/>
  <c r="AP19" i="7"/>
  <c r="AO54" i="7"/>
  <c r="AO55" i="7"/>
  <c r="AP20" i="7"/>
  <c r="AO62" i="7"/>
  <c r="D60" i="7"/>
  <c r="D59" i="7"/>
  <c r="D69" i="7"/>
  <c r="G58" i="7"/>
  <c r="G65" i="7"/>
  <c r="G66" i="7"/>
  <c r="D65" i="7"/>
  <c r="D66" i="7"/>
  <c r="G48" i="7"/>
  <c r="G49" i="7"/>
  <c r="D48" i="7"/>
  <c r="D49" i="7"/>
  <c r="AO18" i="7"/>
  <c r="AC6" i="7"/>
  <c r="AB22" i="7"/>
  <c r="AC22" i="7"/>
  <c r="G16" i="7"/>
  <c r="AC14" i="7"/>
  <c r="AC16" i="7"/>
  <c r="AF16" i="6"/>
  <c r="AF23" i="6"/>
  <c r="AE22" i="7"/>
  <c r="AF22" i="7"/>
  <c r="AB16" i="7"/>
  <c r="AF6" i="7"/>
  <c r="J28" i="21"/>
  <c r="AE16" i="7"/>
  <c r="G22" i="7"/>
  <c r="H22" i="7"/>
  <c r="AO14" i="7"/>
  <c r="M7" i="7"/>
  <c r="AP11" i="7"/>
  <c r="H51" i="21"/>
  <c r="J19" i="19"/>
  <c r="H23" i="6"/>
  <c r="I16" i="6"/>
  <c r="X16" i="6"/>
  <c r="W23" i="6"/>
  <c r="AP16" i="6"/>
  <c r="AL23" i="6"/>
  <c r="AM16" i="6"/>
  <c r="AC23" i="6"/>
  <c r="AD16" i="6"/>
  <c r="AI23" i="6"/>
  <c r="AJ16" i="6"/>
  <c r="T23" i="6"/>
  <c r="U16" i="6"/>
  <c r="Q23" i="6"/>
  <c r="R16" i="6"/>
  <c r="E23" i="6"/>
  <c r="F16" i="6"/>
  <c r="K23" i="6"/>
  <c r="L16" i="6"/>
  <c r="AA16" i="6"/>
  <c r="Z23" i="6"/>
  <c r="O16" i="6"/>
  <c r="N23" i="6"/>
  <c r="AK28" i="7"/>
  <c r="AK27" i="7"/>
  <c r="AK31" i="7"/>
  <c r="AK32" i="7"/>
  <c r="AO69" i="7"/>
  <c r="AK70" i="7"/>
  <c r="AK71" i="7"/>
  <c r="AO43" i="7"/>
  <c r="AO42" i="7"/>
  <c r="AO50" i="7"/>
  <c r="AO48" i="7"/>
  <c r="AO49" i="7"/>
  <c r="AO60" i="7"/>
  <c r="AO59" i="7"/>
  <c r="AO67" i="7"/>
  <c r="AO65" i="7"/>
  <c r="AO66" i="7"/>
  <c r="D70" i="7"/>
  <c r="D71" i="7"/>
  <c r="D72" i="7"/>
  <c r="G68" i="7"/>
  <c r="D27" i="7"/>
  <c r="D28" i="7"/>
  <c r="AP18" i="7"/>
  <c r="AO30" i="7"/>
  <c r="G26" i="7"/>
  <c r="G31" i="7"/>
  <c r="G32" i="7"/>
  <c r="D32" i="7"/>
  <c r="G59" i="7"/>
  <c r="G69" i="7"/>
  <c r="J68" i="7"/>
  <c r="J70" i="7"/>
  <c r="J71" i="7"/>
  <c r="J72" i="7"/>
  <c r="AG16" i="6"/>
  <c r="AO16" i="7"/>
  <c r="AP16" i="7"/>
  <c r="AO22" i="7"/>
  <c r="AP22" i="7"/>
  <c r="AO7" i="7"/>
  <c r="AK7" i="7"/>
  <c r="AP14" i="7"/>
  <c r="G7" i="7"/>
  <c r="AE7" i="7"/>
  <c r="AP6" i="7"/>
  <c r="D7" i="7"/>
  <c r="S7" i="7"/>
  <c r="B9" i="7"/>
  <c r="AH7" i="7"/>
  <c r="Y7" i="7"/>
  <c r="J7" i="7"/>
  <c r="V7" i="7"/>
  <c r="AB7" i="7"/>
  <c r="P7" i="7"/>
  <c r="K6" i="19"/>
  <c r="J30" i="19"/>
  <c r="K19" i="19"/>
  <c r="I51" i="21"/>
  <c r="H53" i="21"/>
  <c r="I53" i="21"/>
  <c r="J15" i="21"/>
  <c r="J17" i="21"/>
  <c r="I22" i="22"/>
  <c r="I23" i="22"/>
  <c r="AQ16" i="6"/>
  <c r="AJ23" i="6"/>
  <c r="AI25" i="6"/>
  <c r="AF25" i="6"/>
  <c r="AG23" i="6"/>
  <c r="W25" i="6"/>
  <c r="X23" i="6"/>
  <c r="O23" i="6"/>
  <c r="N25" i="6"/>
  <c r="AC25" i="6"/>
  <c r="AD23" i="6"/>
  <c r="AP23" i="6"/>
  <c r="AQ23" i="6"/>
  <c r="AM23" i="6"/>
  <c r="AL25" i="6"/>
  <c r="E25" i="6"/>
  <c r="F23" i="6"/>
  <c r="T25" i="6"/>
  <c r="U23" i="6"/>
  <c r="AA23" i="6"/>
  <c r="Z25" i="6"/>
  <c r="K25" i="6"/>
  <c r="L23" i="6"/>
  <c r="Q25" i="6"/>
  <c r="R23" i="6"/>
  <c r="I23" i="6"/>
  <c r="H25" i="6"/>
  <c r="G27" i="7"/>
  <c r="J38" i="7"/>
  <c r="J51" i="7"/>
  <c r="J53" i="7"/>
  <c r="J54" i="7"/>
  <c r="J55" i="7"/>
  <c r="G70" i="7"/>
  <c r="G71" i="7"/>
  <c r="G72" i="7"/>
  <c r="AK33" i="7"/>
  <c r="AK38" i="7"/>
  <c r="AO70" i="7"/>
  <c r="AO71" i="7"/>
  <c r="D53" i="7"/>
  <c r="D54" i="7"/>
  <c r="D55" i="7"/>
  <c r="G51" i="7"/>
  <c r="G53" i="7"/>
  <c r="G54" i="7"/>
  <c r="G55" i="7"/>
  <c r="G33" i="7"/>
  <c r="AT7" i="7"/>
  <c r="BA7" i="7"/>
  <c r="AO28" i="7"/>
  <c r="AO27" i="7"/>
  <c r="AO31" i="7"/>
  <c r="AO32" i="7"/>
  <c r="K58" i="19"/>
  <c r="K39" i="19"/>
  <c r="K23" i="19"/>
  <c r="K49" i="19"/>
  <c r="K47" i="19"/>
  <c r="K61" i="19"/>
  <c r="K37" i="19"/>
  <c r="K59" i="19"/>
  <c r="K30" i="19"/>
  <c r="K14" i="19"/>
  <c r="K26" i="19"/>
  <c r="K52" i="19"/>
  <c r="K24" i="19"/>
  <c r="K48" i="19"/>
  <c r="K17" i="19"/>
  <c r="K28" i="19"/>
  <c r="K25" i="19"/>
  <c r="K15" i="19"/>
  <c r="K41" i="19"/>
  <c r="K40" i="19"/>
  <c r="K50" i="19"/>
  <c r="K36" i="19"/>
  <c r="H9" i="19"/>
  <c r="K62" i="19"/>
  <c r="I21" i="22"/>
  <c r="K16" i="19"/>
  <c r="Q36" i="6"/>
  <c r="R25" i="6"/>
  <c r="F25" i="6"/>
  <c r="E36" i="6"/>
  <c r="O25" i="6"/>
  <c r="N36" i="6"/>
  <c r="I25" i="6"/>
  <c r="H36" i="6"/>
  <c r="AM25" i="6"/>
  <c r="AL36" i="6"/>
  <c r="AP25" i="6"/>
  <c r="I18" i="22"/>
  <c r="AD25" i="6"/>
  <c r="AC36" i="6"/>
  <c r="AG25" i="6"/>
  <c r="AF36" i="6"/>
  <c r="L25" i="6"/>
  <c r="K36" i="6"/>
  <c r="U25" i="6"/>
  <c r="T36" i="6"/>
  <c r="AI36" i="6"/>
  <c r="AJ25" i="6"/>
  <c r="AA25" i="6"/>
  <c r="Z36" i="6"/>
  <c r="X25" i="6"/>
  <c r="W36" i="6"/>
  <c r="AO38" i="7"/>
  <c r="AO33" i="7"/>
  <c r="D38" i="7"/>
  <c r="D33" i="7"/>
  <c r="G38" i="7"/>
  <c r="AQ25" i="6"/>
  <c r="H41" i="6"/>
  <c r="I36" i="6"/>
  <c r="E41" i="6"/>
  <c r="F36" i="6"/>
  <c r="AA36" i="6"/>
  <c r="Z41" i="6"/>
  <c r="U36" i="6"/>
  <c r="T41" i="6"/>
  <c r="AG36" i="6"/>
  <c r="AF41" i="6"/>
  <c r="AL41" i="6"/>
  <c r="AP36" i="6"/>
  <c r="I19" i="22"/>
  <c r="AM36" i="6"/>
  <c r="N41" i="6"/>
  <c r="O36" i="6"/>
  <c r="AJ36" i="6"/>
  <c r="AI41" i="6"/>
  <c r="W41" i="6"/>
  <c r="X36" i="6"/>
  <c r="K41" i="6"/>
  <c r="L36" i="6"/>
  <c r="AC41" i="6"/>
  <c r="AD36" i="6"/>
  <c r="R36" i="6"/>
  <c r="Q41" i="6"/>
  <c r="AQ36" i="6"/>
  <c r="K43" i="6"/>
  <c r="L43" i="6"/>
  <c r="L41" i="6"/>
  <c r="U41" i="6"/>
  <c r="T43" i="6"/>
  <c r="AL43" i="6"/>
  <c r="AP41" i="6"/>
  <c r="AM41" i="6"/>
  <c r="E43" i="6"/>
  <c r="F41" i="6"/>
  <c r="AD41" i="6"/>
  <c r="AC43" i="6"/>
  <c r="AD43" i="6"/>
  <c r="X41" i="6"/>
  <c r="W43" i="6"/>
  <c r="X43" i="6"/>
  <c r="O41" i="6"/>
  <c r="N43" i="6"/>
  <c r="O43" i="6"/>
  <c r="AG41" i="6"/>
  <c r="AF43" i="6"/>
  <c r="AG43" i="6"/>
  <c r="Z43" i="6"/>
  <c r="AA41" i="6"/>
  <c r="R41" i="6"/>
  <c r="Q43" i="6"/>
  <c r="AJ41" i="6"/>
  <c r="AI43" i="6"/>
  <c r="H43" i="6"/>
  <c r="I41" i="6"/>
  <c r="I17" i="22"/>
  <c r="I15" i="22"/>
  <c r="AQ41" i="6"/>
  <c r="K45" i="6"/>
  <c r="BM26" i="5"/>
  <c r="BT26" i="5"/>
  <c r="AF45" i="6"/>
  <c r="BM82" i="5"/>
  <c r="BT82" i="5"/>
  <c r="N45" i="6"/>
  <c r="AJ43" i="6"/>
  <c r="AI45" i="6"/>
  <c r="AL45" i="6"/>
  <c r="AP43" i="6"/>
  <c r="AM43" i="6"/>
  <c r="F43" i="6"/>
  <c r="E45" i="6"/>
  <c r="R43" i="6"/>
  <c r="Q45" i="6"/>
  <c r="AA43" i="6"/>
  <c r="Z45" i="6"/>
  <c r="U43" i="6"/>
  <c r="T45" i="6"/>
  <c r="AC45" i="6"/>
  <c r="I43" i="6"/>
  <c r="H45" i="6"/>
  <c r="W45" i="6"/>
  <c r="J38" i="21"/>
  <c r="J42" i="21"/>
  <c r="J46" i="21"/>
  <c r="AQ43" i="6"/>
  <c r="BA26" i="5"/>
  <c r="BH26" i="5"/>
  <c r="L45" i="6"/>
  <c r="AG45" i="6"/>
  <c r="BA82" i="5"/>
  <c r="BH82" i="5"/>
  <c r="O45" i="6"/>
  <c r="BM34" i="5"/>
  <c r="BT34" i="5"/>
  <c r="BA34" i="5"/>
  <c r="BH34" i="5"/>
  <c r="I45" i="6"/>
  <c r="BM18" i="5"/>
  <c r="BT18" i="5"/>
  <c r="BA18" i="5"/>
  <c r="BH18" i="5"/>
  <c r="BA50" i="5"/>
  <c r="BH50" i="5"/>
  <c r="U45" i="6"/>
  <c r="BM50" i="5"/>
  <c r="BT50" i="5"/>
  <c r="BM42" i="5"/>
  <c r="BT42" i="5"/>
  <c r="R45" i="6"/>
  <c r="BA42" i="5"/>
  <c r="BH42" i="5"/>
  <c r="AD45" i="6"/>
  <c r="BA74" i="5"/>
  <c r="BH74" i="5"/>
  <c r="BM74" i="5"/>
  <c r="BT74" i="5"/>
  <c r="AJ45" i="6"/>
  <c r="BM90" i="5"/>
  <c r="BT90" i="5"/>
  <c r="BA90" i="5"/>
  <c r="BH90" i="5"/>
  <c r="BA58" i="5"/>
  <c r="BH58" i="5"/>
  <c r="BM58" i="5"/>
  <c r="BT58" i="5"/>
  <c r="X45" i="6"/>
  <c r="BA66" i="5"/>
  <c r="BH66" i="5"/>
  <c r="BM66" i="5"/>
  <c r="BT66" i="5"/>
  <c r="AA45" i="6"/>
  <c r="BA10" i="5"/>
  <c r="BH10" i="5"/>
  <c r="BM10" i="5"/>
  <c r="BT10" i="5"/>
  <c r="F45" i="6"/>
  <c r="BM98" i="5"/>
  <c r="BT98" i="5"/>
  <c r="BA98" i="5"/>
  <c r="BH98" i="5"/>
  <c r="AM45" i="6"/>
  <c r="AP45" i="6"/>
  <c r="J60" i="19"/>
  <c r="D20" i="20"/>
  <c r="D18" i="20"/>
  <c r="D22" i="20"/>
  <c r="H59" i="21"/>
  <c r="J43" i="19"/>
  <c r="K38" i="19"/>
  <c r="I27" i="22"/>
  <c r="H84" i="21"/>
  <c r="I84" i="21"/>
  <c r="J64" i="19"/>
  <c r="K60" i="19"/>
  <c r="AQ45" i="6"/>
  <c r="BM106" i="5"/>
  <c r="BA106" i="5"/>
  <c r="BC7" i="6"/>
  <c r="BJ7" i="6"/>
  <c r="I59" i="21"/>
  <c r="H63" i="21"/>
  <c r="I63" i="21"/>
  <c r="J66" i="21"/>
  <c r="J68" i="21"/>
  <c r="J105" i="21"/>
  <c r="J109" i="21"/>
  <c r="J113" i="21"/>
  <c r="J54" i="19"/>
  <c r="I30" i="22"/>
  <c r="I34" i="22"/>
  <c r="I33" i="22"/>
  <c r="K43" i="19"/>
  <c r="I29" i="22"/>
  <c r="K64" i="19"/>
  <c r="I13" i="22"/>
  <c r="I14" i="22"/>
  <c r="BT106" i="5"/>
  <c r="BM114" i="5"/>
  <c r="BR114" i="5"/>
  <c r="BA114" i="5"/>
  <c r="BF114" i="5"/>
  <c r="BH106" i="5"/>
  <c r="I31" i="22"/>
  <c r="J66" i="19"/>
  <c r="I32" i="22"/>
  <c r="K54" i="19"/>
  <c r="K66" i="19"/>
  <c r="N3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E4" authorId="0" shapeId="0" xr:uid="{542793BC-1016-8C44-BB29-8CCAFD1BB6D7}">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47" authorId="0" shapeId="0" xr:uid="{7F93A5FF-74CE-C942-92C4-1ADC18079CBA}">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90" authorId="0" shapeId="0" xr:uid="{DA364FE8-16D1-BE4C-93AC-EBD7AF7F6C4B}">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133" authorId="0" shapeId="0" xr:uid="{E9ABAAA4-8C2E-F644-90A4-86DC0CFD0E5F}">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176" authorId="0" shapeId="0" xr:uid="{DE25CDAD-5981-2446-AA63-60FAC7DBEA38}">
      <text>
        <r>
          <rPr>
            <b/>
            <sz val="9"/>
            <color indexed="8"/>
            <rFont val="Verdana"/>
            <family val="2"/>
          </rPr>
          <t>Christian Latour:</t>
        </r>
        <r>
          <rPr>
            <sz val="9"/>
            <color indexed="8"/>
            <rFont val="Verdana"/>
            <family val="2"/>
          </rPr>
          <t xml:space="preserve">
</t>
        </r>
        <r>
          <rPr>
            <sz val="9"/>
            <color indexed="8"/>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219" authorId="0" shapeId="0" xr:uid="{4D7B987C-DD0B-F344-923D-F6F9BADC4878}">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262" authorId="0" shapeId="0" xr:uid="{29459921-BCCF-F24B-ACA3-0A58E50507B6}">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305" authorId="0" shapeId="0" xr:uid="{2D6183F9-7BBA-F443-9F07-DF696FF41041}">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348" authorId="0" shapeId="0" xr:uid="{CD7239E4-6DCF-3848-A1B7-D17D550B7429}">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391" authorId="0" shapeId="0" xr:uid="{BCBC5789-6618-9A4B-8A27-421FCF2FA366}">
      <text>
        <r>
          <rPr>
            <b/>
            <sz val="9"/>
            <color indexed="8"/>
            <rFont val="Verdana"/>
            <family val="2"/>
          </rPr>
          <t>Christian Latour:</t>
        </r>
        <r>
          <rPr>
            <sz val="9"/>
            <color indexed="8"/>
            <rFont val="Verdana"/>
            <family val="2"/>
          </rPr>
          <t xml:space="preserve">
</t>
        </r>
        <r>
          <rPr>
            <sz val="9"/>
            <color indexed="8"/>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434" authorId="0" shapeId="0" xr:uid="{1B1E7558-C7A6-CA47-9DF6-5D864A76C32C}">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477" authorId="0" shapeId="0" xr:uid="{A6DD8BA8-8B3E-B745-89E3-471B3BF893B7}">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520" authorId="0" shapeId="0" xr:uid="{6EB45705-55D4-2849-9AF8-230802349B25}">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8BD2D7FC-E0AD-F44E-94B7-F278011585BA}">
      <text>
        <r>
          <rPr>
            <b/>
            <sz val="9"/>
            <color rgb="FF000000"/>
            <rFont val="Arial"/>
            <family val="2"/>
          </rPr>
          <t xml:space="preserve">Christian Latour :
</t>
        </r>
        <r>
          <rPr>
            <b/>
            <sz val="9"/>
            <color rgb="FF000000"/>
            <rFont val="Arial"/>
            <family val="2"/>
          </rPr>
          <t xml:space="preserve">7305 — Loyer minimum fixe
</t>
        </r>
        <r>
          <rPr>
            <b/>
            <sz val="9"/>
            <color rgb="FF000000"/>
            <rFont val="Arial"/>
            <family val="2"/>
          </rPr>
          <t>Montant fixe payé au propriétaire du bâtiment pour occuper les lieux.</t>
        </r>
      </text>
    </comment>
    <comment ref="C14" authorId="0" shapeId="0" xr:uid="{FD0EC5A9-4F88-E34E-8555-FB8CA35CFD29}">
      <text>
        <r>
          <rPr>
            <b/>
            <sz val="9"/>
            <color rgb="FF000000"/>
            <rFont val="Arial"/>
            <family val="2"/>
          </rPr>
          <t xml:space="preserve">Christian Latour :
</t>
        </r>
        <r>
          <rPr>
            <b/>
            <sz val="9"/>
            <color rgb="FF000000"/>
            <rFont val="Arial"/>
            <family val="2"/>
          </rPr>
          <t xml:space="preserve">7310 — Loyer - Variable
</t>
        </r>
        <r>
          <rPr>
            <b/>
            <sz val="9"/>
            <color rgb="FF000000"/>
            <rFont val="Arial"/>
            <family val="2"/>
          </rPr>
          <t>Pourcentage de votre chiffre d’affaires que vous devez payer au propriétaire du bâtiment pour occuper les lieux.</t>
        </r>
      </text>
    </comment>
    <comment ref="C15" authorId="0" shapeId="0" xr:uid="{B45EE39C-38AF-8A45-B0CD-14FF941546FC}">
      <text>
        <r>
          <rPr>
            <b/>
            <sz val="9"/>
            <color rgb="FF000000"/>
            <rFont val="Arial"/>
            <family val="2"/>
          </rPr>
          <t xml:space="preserve">Christian Latour :
</t>
        </r>
        <r>
          <rPr>
            <b/>
            <sz val="9"/>
            <color rgb="FF000000"/>
            <rFont val="Arial"/>
            <family val="2"/>
          </rPr>
          <t xml:space="preserve">7315 — Location - Terrain
</t>
        </r>
        <r>
          <rPr>
            <b/>
            <sz val="9"/>
            <color rgb="FF000000"/>
            <rFont val="Arial"/>
            <family val="2"/>
          </rPr>
          <t>Montant payé au propriétaire pour la location du terrain sur lequel est installé le bâtiment dans lequel vous exploitez votre restaurant.</t>
        </r>
      </text>
    </comment>
    <comment ref="C16" authorId="0" shapeId="0" xr:uid="{C3BD3356-0A73-DC46-87CD-26EFB0CBA8E6}">
      <text>
        <r>
          <rPr>
            <b/>
            <sz val="9"/>
            <color rgb="FF000000"/>
            <rFont val="Arial"/>
            <family val="2"/>
          </rPr>
          <t xml:space="preserve">Christian Latour :
</t>
        </r>
        <r>
          <rPr>
            <b/>
            <sz val="9"/>
            <color rgb="FF000000"/>
            <rFont val="Arial"/>
            <family val="2"/>
          </rPr>
          <t xml:space="preserve">7320 — Location d’équipement
</t>
        </r>
        <r>
          <rPr>
            <b/>
            <sz val="9"/>
            <color rgb="FF000000"/>
            <rFont val="Arial"/>
            <family val="2"/>
          </rPr>
          <t>Montant payé au propriétaire pour l’utilisation de certains équipements incorporés au bâtiment.</t>
        </r>
      </text>
    </comment>
    <comment ref="C17" authorId="0" shapeId="0" xr:uid="{59FA5D45-0453-7448-8219-51B835D94593}">
      <text>
        <r>
          <rPr>
            <b/>
            <sz val="9"/>
            <color indexed="81"/>
            <rFont val="Arial"/>
            <family val="2"/>
          </rPr>
          <t>Christian Latour :
7325 — Taxes foncières
Montant payé pour les taxes foncières.</t>
        </r>
      </text>
    </comment>
    <comment ref="C18" authorId="0" shapeId="0" xr:uid="{A67D4946-5129-A248-AB10-EB5D1BA5A083}">
      <text>
        <r>
          <rPr>
            <b/>
            <sz val="9"/>
            <color rgb="FF000000"/>
            <rFont val="Arial"/>
            <family val="2"/>
          </rPr>
          <t xml:space="preserve">Christian Latour :
</t>
        </r>
        <r>
          <rPr>
            <b/>
            <sz val="9"/>
            <color rgb="FF000000"/>
            <rFont val="Arial"/>
            <family val="2"/>
          </rPr>
          <t xml:space="preserve">7330 — Taxes pour l’usage de la propriété
</t>
        </r>
        <r>
          <rPr>
            <b/>
            <sz val="9"/>
            <color rgb="FF000000"/>
            <rFont val="Arial"/>
            <family val="2"/>
          </rPr>
          <t>Montant payé pour les taxes d’usage de la propriété (eau, ordures, etc.).</t>
        </r>
      </text>
    </comment>
    <comment ref="C19" authorId="0" shapeId="0" xr:uid="{41284A88-D48D-DE4D-8A72-026E68CF359D}">
      <text>
        <r>
          <rPr>
            <b/>
            <sz val="9"/>
            <color rgb="FF000000"/>
            <rFont val="Arial"/>
            <family val="2"/>
          </rPr>
          <t xml:space="preserve">Christian Latour :
</t>
        </r>
        <r>
          <rPr>
            <b/>
            <sz val="9"/>
            <color rgb="FF000000"/>
            <rFont val="Arial"/>
            <family val="2"/>
          </rPr>
          <t xml:space="preserve">7335 — Autres taxes municipales
</t>
        </r>
        <r>
          <rPr>
            <b/>
            <sz val="9"/>
            <color rgb="FF000000"/>
            <rFont val="Arial"/>
            <family val="2"/>
          </rPr>
          <t>Montant payé pour les autres taxes municipales.</t>
        </r>
      </text>
    </comment>
    <comment ref="C20" authorId="0" shapeId="0" xr:uid="{24F896E9-636A-1D40-AC46-17B68D203211}">
      <text>
        <r>
          <rPr>
            <b/>
            <sz val="9"/>
            <color rgb="FF000000"/>
            <rFont val="Arial"/>
            <family val="2"/>
          </rPr>
          <t xml:space="preserve">Christian Latour :
</t>
        </r>
        <r>
          <rPr>
            <b/>
            <sz val="9"/>
            <color rgb="FF000000"/>
            <rFont val="Arial"/>
            <family val="2"/>
          </rPr>
          <t xml:space="preserve">7340 — Redevance ou droit d’occupation 
</t>
        </r>
        <r>
          <rPr>
            <b/>
            <sz val="9"/>
            <color rgb="FF000000"/>
            <rFont val="Arial"/>
            <family val="2"/>
          </rPr>
          <t>Ce compte comptable est utilisé si vous êtes franchisé et que vous devez payer à votre franchiseur propriétaire du bâtiment un montant qui correspond à un pourcentage de votre chiffre d’affaires comme partie ou totalité de votre loyer.</t>
        </r>
      </text>
    </comment>
    <comment ref="C21" authorId="0" shapeId="0" xr:uid="{A053613D-F57C-8947-A06A-EA47BE52CB1C}">
      <text>
        <r>
          <rPr>
            <b/>
            <sz val="9"/>
            <color rgb="FF000000"/>
            <rFont val="Arial"/>
            <family val="2"/>
          </rPr>
          <t xml:space="preserve">Christian Latour :
</t>
        </r>
        <r>
          <rPr>
            <b/>
            <sz val="9"/>
            <color rgb="FF000000"/>
            <rFont val="Arial"/>
            <family val="2"/>
          </rPr>
          <t xml:space="preserve">7345 — Contribution régulière et occasionnelle pour la gestion et la maintenance de votre copropriété 
</t>
        </r>
        <r>
          <rPr>
            <b/>
            <sz val="9"/>
            <color rgb="FF000000"/>
            <rFont val="Arial"/>
            <family val="2"/>
          </rPr>
          <t>Ce compte comptable est utilisé, si vous êtes propriétaire du condo commercial dans lequel vous exploitez votre entreprise de restauration alimentaire, et qu’en conséquence vous êtes tenu de payer au syndicat de votre copropriété des contributions régulières ou occasionnelles pour un fonds de gestion, un fonds de prévoyance, et, etc.</t>
        </r>
      </text>
    </comment>
    <comment ref="C22" authorId="0" shapeId="0" xr:uid="{551E963E-4A97-1343-8132-0B829ADDF892}">
      <text>
        <r>
          <rPr>
            <b/>
            <sz val="9"/>
            <color rgb="FF000000"/>
            <rFont val="Arial"/>
            <family val="2"/>
          </rPr>
          <t xml:space="preserve">Christian Latour :
</t>
        </r>
        <r>
          <rPr>
            <b/>
            <sz val="9"/>
            <color rgb="FF000000"/>
            <rFont val="Arial"/>
            <family val="2"/>
          </rPr>
          <t xml:space="preserve">7350 — Association ou frais d’adhésion 
</t>
        </r>
        <r>
          <rPr>
            <b/>
            <sz val="9"/>
            <color rgb="FF000000"/>
            <rFont val="Arial"/>
            <family val="2"/>
          </rPr>
          <t>Ce compte est utilisé si vous devez payer des frais d’adhésion obligatoires à une association de marchand. C’est souvent le cas, par exemple, dans les centres commerciaux.</t>
        </r>
      </text>
    </comment>
    <comment ref="C23" authorId="0" shapeId="0" xr:uid="{DDDABEFE-1046-9044-8D71-20617486AE2D}">
      <text>
        <r>
          <rPr>
            <b/>
            <sz val="9"/>
            <color rgb="FF000000"/>
            <rFont val="Arial"/>
            <family val="2"/>
          </rPr>
          <t xml:space="preserve">Christian Latour :
</t>
        </r>
        <r>
          <rPr>
            <b/>
            <sz val="9"/>
            <color rgb="FF000000"/>
            <rFont val="Arial"/>
            <family val="2"/>
          </rPr>
          <t xml:space="preserve">7360 — Assurances — Bâtiment et contenu
</t>
        </r>
        <r>
          <rPr>
            <b/>
            <sz val="9"/>
            <color rgb="FF000000"/>
            <rFont val="Arial"/>
            <family val="2"/>
          </rPr>
          <t>Montant payé pour la couverture d’assurance du bâtiment dans lequel vous exploitez votre restaurant ainsi que pour l’assurance de son contenu.</t>
        </r>
      </text>
    </comment>
    <comment ref="C24" authorId="0" shapeId="0" xr:uid="{3E85B342-B388-A249-B0D3-F12CE560DA92}">
      <text>
        <r>
          <rPr>
            <b/>
            <sz val="9"/>
            <color rgb="FF000000"/>
            <rFont val="Arial"/>
            <family val="2"/>
          </rPr>
          <t xml:space="preserve">Christian Latour :
</t>
        </r>
        <r>
          <rPr>
            <b/>
            <sz val="9"/>
            <color rgb="FF000000"/>
            <rFont val="Arial"/>
            <family val="2"/>
          </rPr>
          <t xml:space="preserve">7399 — Autres coûts d’occupation
</t>
        </r>
        <r>
          <rPr>
            <b/>
            <sz val="9"/>
            <color rgb="FF000000"/>
            <rFont val="Arial"/>
            <family val="2"/>
          </rPr>
          <t>Autres montants payés pour l’occupation de votre espace de restaurant et qui n’est pas comptabilisé dans l’un des comptes précédents.</t>
        </r>
      </text>
    </comment>
    <comment ref="C26" authorId="0" shapeId="0" xr:uid="{6E3D5F18-252C-CC4C-8B32-F172ADEAB065}">
      <text>
        <r>
          <rPr>
            <sz val="10"/>
            <color rgb="FF000000"/>
            <rFont val="Arial"/>
            <family val="2"/>
          </rPr>
          <t xml:space="preserve">Christian Latour :
</t>
        </r>
        <r>
          <rPr>
            <sz val="10"/>
            <color rgb="FF000000"/>
            <rFont val="Arial"/>
            <family val="2"/>
          </rPr>
          <t xml:space="preserve">7300 — Coût d’occupation
</t>
        </r>
        <r>
          <rPr>
            <sz val="10"/>
            <color rgb="FF000000"/>
            <rFont val="Arial"/>
            <family val="2"/>
          </rPr>
          <t xml:space="preserve">Il s’agit du compte de contrôle dans lequel on additionne le total des coûts d’occupation.
</t>
        </r>
        <r>
          <rPr>
            <sz val="10"/>
            <color rgb="FF000000"/>
            <rFont val="Arial"/>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7F833910-E4C5-1543-AAE8-94366385F50F}">
      <text>
        <r>
          <rPr>
            <b/>
            <sz val="9"/>
            <color rgb="FF000000"/>
            <rFont val="Arial"/>
            <family val="2"/>
          </rPr>
          <t xml:space="preserve">Christian Latour :
</t>
        </r>
        <r>
          <rPr>
            <b/>
            <sz val="9"/>
            <color rgb="FF000000"/>
            <rFont val="Arial"/>
            <family val="2"/>
          </rPr>
          <t xml:space="preserve">7402 — Uniformes
</t>
        </r>
        <r>
          <rPr>
            <b/>
            <sz val="9"/>
            <color rgb="FF000000"/>
            <rFont val="Arial"/>
            <family val="2"/>
          </rPr>
          <t>Montant dépensé pour l’achat de tabliers, de blouses, de casquettes, de costumes, de sarraus, de gants, de tailleurs, de cravates, de pantalons, de filets à cheveux, de souliers, d’insignes, et, etc.</t>
        </r>
      </text>
    </comment>
    <comment ref="C14" authorId="0" shapeId="0" xr:uid="{25DDB8F5-3043-3B4B-B9CC-7ACC12A7469D}">
      <text>
        <r>
          <rPr>
            <b/>
            <sz val="9"/>
            <color rgb="FF000000"/>
            <rFont val="Arial"/>
            <family val="2"/>
          </rPr>
          <t xml:space="preserve">Christian Latour :
</t>
        </r>
        <r>
          <rPr>
            <b/>
            <sz val="9"/>
            <color rgb="FF000000"/>
            <rFont val="Arial"/>
            <family val="2"/>
          </rPr>
          <t xml:space="preserve">7404 — Buanderie et nettoyage à sec
</t>
        </r>
        <r>
          <rPr>
            <b/>
            <sz val="9"/>
            <color rgb="FF000000"/>
            <rFont val="Arial"/>
            <family val="2"/>
          </rPr>
          <t>Montant dépensé pour le nettoyage des tissus : uniformes, linges, nappes, serviettes de table, rideaux et tout autre article en tissu.</t>
        </r>
      </text>
    </comment>
    <comment ref="C15" authorId="0" shapeId="0" xr:uid="{002AFE5B-E3CB-AF4F-83BF-9B152E9B1645}">
      <text>
        <r>
          <rPr>
            <b/>
            <sz val="9"/>
            <color rgb="FF000000"/>
            <rFont val="Arial"/>
            <family val="2"/>
          </rPr>
          <t xml:space="preserve">Christian Latour :
</t>
        </r>
        <r>
          <rPr>
            <b/>
            <sz val="9"/>
            <color rgb="FF000000"/>
            <rFont val="Arial"/>
            <family val="2"/>
          </rPr>
          <t xml:space="preserve">7406 — Location - Lingerie/tissus
</t>
        </r>
        <r>
          <rPr>
            <b/>
            <sz val="9"/>
            <color rgb="FF000000"/>
            <rFont val="Arial"/>
            <family val="2"/>
          </rPr>
          <t>Montant dépensé pour la location de la lingerie : linges, nappes, serviettes de table, rideaux et tout autre article en tissu excluant ce qui entre dans la catégorie « Uniformes ».</t>
        </r>
      </text>
    </comment>
    <comment ref="C16" authorId="0" shapeId="0" xr:uid="{75A62BDA-F6D4-7E4A-9145-5490B874C599}">
      <text>
        <r>
          <rPr>
            <b/>
            <sz val="9"/>
            <color rgb="FF000000"/>
            <rFont val="Arial"/>
            <family val="2"/>
          </rPr>
          <t xml:space="preserve">Christian Latour :
</t>
        </r>
        <r>
          <rPr>
            <b/>
            <sz val="9"/>
            <color rgb="FF000000"/>
            <rFont val="Arial"/>
            <family val="2"/>
          </rPr>
          <t xml:space="preserve">7408 — Achats - Lingerie/tissus
</t>
        </r>
        <r>
          <rPr>
            <b/>
            <sz val="9"/>
            <color rgb="FF000000"/>
            <rFont val="Arial"/>
            <family val="2"/>
          </rPr>
          <t>Montant dépensé pour l’achat de lingerie : linges, nappes, serviettes de table, rideaux et tout autre article en tissu excluant ce qui entre dans la catégorie « Uniformes ».</t>
        </r>
      </text>
    </comment>
    <comment ref="C17" authorId="0" shapeId="0" xr:uid="{D0EB7873-336F-2943-93D6-7DF2BA25D8E8}">
      <text>
        <r>
          <rPr>
            <b/>
            <sz val="9"/>
            <color rgb="FF000000"/>
            <rFont val="Arial"/>
            <family val="2"/>
          </rPr>
          <t xml:space="preserve">Christian Latour :
</t>
        </r>
        <r>
          <rPr>
            <b/>
            <sz val="9"/>
            <color rgb="FF000000"/>
            <rFont val="Arial"/>
            <family val="2"/>
          </rPr>
          <t xml:space="preserve">7410 — Accessoires de table 
</t>
        </r>
        <r>
          <rPr>
            <b/>
            <sz val="9"/>
            <color rgb="FF000000"/>
            <rFont val="Arial"/>
            <family val="2"/>
          </rPr>
          <t>Montant dépensé pour l’achat de porcelaines, d’assiettes, de tasses, de sous-tasses, de sauciers, de bols, de théières, de cafetières, de pichets, de verres à eau, de verres à vin, de verre à bière, de verres à « shooter », de gobelets, de sous-plats, de plats de service, de plats de présentation, de plateaux, de soupières, de chandeliers, de pièces décoratives, de seaux à vin, et, etc.</t>
        </r>
      </text>
    </comment>
    <comment ref="C18" authorId="0" shapeId="0" xr:uid="{7B5B63EF-D24A-CA45-900D-6E184076A4E2}">
      <text>
        <r>
          <rPr>
            <b/>
            <sz val="9"/>
            <color rgb="FF000000"/>
            <rFont val="Arial"/>
            <family val="2"/>
          </rPr>
          <t xml:space="preserve">Christian Latour :
</t>
        </r>
        <r>
          <rPr>
            <b/>
            <sz val="9"/>
            <color rgb="FF000000"/>
            <rFont val="Arial"/>
            <family val="2"/>
          </rPr>
          <t xml:space="preserve">7412 — Accessoires de service
</t>
        </r>
        <r>
          <rPr>
            <b/>
            <sz val="9"/>
            <color rgb="FF000000"/>
            <rFont val="Arial"/>
            <family val="2"/>
          </rPr>
          <t>Montant dépensé pour l’achat de couteaux, de fourchettes, de cuillères, de louches, etc.</t>
        </r>
      </text>
    </comment>
    <comment ref="C19" authorId="0" shapeId="0" xr:uid="{2205EF5B-D61C-9047-A56A-2C5168A2DBB7}">
      <text>
        <r>
          <rPr>
            <b/>
            <sz val="9"/>
            <color indexed="81"/>
            <rFont val="Arial"/>
            <family val="2"/>
          </rPr>
          <t>Christian Latour :
7414 — Accessoires de cuisine
Montant dépensé pour l’achat de couteaux de cuisinier, de casseroles, de poêles, de bouilloires, de bols à mélanger, de fouets, de cuillères, d’ouvre-boîtes, d’aiguiseurs à couteaux, de petits outils et équipements, etc., et pour les coûts d’entretien des accessoires de cuisine si le coût est moindre que 100 $.</t>
        </r>
      </text>
    </comment>
    <comment ref="C20" authorId="0" shapeId="0" xr:uid="{80529C1B-40E0-E047-9A0F-C666FBDA6DA7}">
      <text>
        <r>
          <rPr>
            <b/>
            <sz val="9"/>
            <color indexed="81"/>
            <rFont val="Arial"/>
            <family val="2"/>
          </rPr>
          <t>Christian Latour :
7416 — Dépenses véhicules (livraison)
Ensemble des dépenses encourues pour les véhicules de livraison et pour la location de véhicules, s’il y a lieu.</t>
        </r>
      </text>
    </comment>
    <comment ref="C21" authorId="0" shapeId="0" xr:uid="{467BC8AE-4FBE-7B48-8D2E-5CB8CA09A332}">
      <text>
        <r>
          <rPr>
            <b/>
            <sz val="9"/>
            <color indexed="81"/>
            <rFont val="Arial"/>
            <family val="2"/>
          </rPr>
          <t>Christian Latour :
7418 — Fournitures d’entretien
Montant dépensé pour l’achat de nettoyants, de polissoirs, de savons, de détergents, de désinfectants, de produits chimiques, de déodorants, de balais et d’aspirateurs, de vadrouilles, de grattoirs, de torchons, de guenilles, de linges à poussière, de seaux et de chaudières, de chiffons, de laines d’acier, et, etc.</t>
        </r>
      </text>
    </comment>
    <comment ref="C22" authorId="0" shapeId="0" xr:uid="{C27EEACA-BD89-8645-B055-3A34603F76CA}">
      <text>
        <r>
          <rPr>
            <b/>
            <sz val="9"/>
            <color rgb="FF000000"/>
            <rFont val="Arial"/>
            <family val="2"/>
          </rPr>
          <t xml:space="preserve">Christian Latour :
</t>
        </r>
        <r>
          <rPr>
            <b/>
            <sz val="9"/>
            <color rgb="FF000000"/>
            <rFont val="Arial"/>
            <family val="2"/>
          </rPr>
          <t xml:space="preserve">7420 — Fournitures de papiers
</t>
        </r>
        <r>
          <rPr>
            <b/>
            <sz val="9"/>
            <color rgb="FF000000"/>
            <rFont val="Arial"/>
            <family val="2"/>
          </rPr>
          <t>Montant dépensé pour l’achat de vaisselle en styromousse ou en carton, de napperons de papier réguliers et dentelés (« doilies »), de serviettes de table en papier, d’emballages pour livraison et pour emporter, de boîtes, de papier filtre, de papier ciré, de ficelle, de fil de nylon, et, etc.</t>
        </r>
      </text>
    </comment>
    <comment ref="C23" authorId="0" shapeId="0" xr:uid="{9B6C7CB9-96B1-EC45-A924-3C5DF992A66E}">
      <text>
        <r>
          <rPr>
            <b/>
            <sz val="9"/>
            <color rgb="FF000000"/>
            <rFont val="Arial"/>
            <family val="2"/>
          </rPr>
          <t xml:space="preserve">Christian Latour :
</t>
        </r>
        <r>
          <rPr>
            <b/>
            <sz val="9"/>
            <color rgb="FF000000"/>
            <rFont val="Arial"/>
            <family val="2"/>
          </rPr>
          <t xml:space="preserve">7422 — Fournitures pour les invités/clients
</t>
        </r>
        <r>
          <rPr>
            <b/>
            <sz val="9"/>
            <color rgb="FF000000"/>
            <rFont val="Arial"/>
            <family val="2"/>
          </rPr>
          <t>Montant dépensé pour l’ensemble des fournitures utilisées pour le bénéfice des clients : allumettes, crayons, journaux quotidiens, magazione, cure-dents, présentoirs de cartes de crédit, et, etc.</t>
        </r>
      </text>
    </comment>
    <comment ref="C24" authorId="0" shapeId="0" xr:uid="{1CF1E8BA-B8A6-D34D-A72F-37824A2B6F10}">
      <text>
        <r>
          <rPr>
            <b/>
            <sz val="9"/>
            <color rgb="FF000000"/>
            <rFont val="Arial"/>
            <family val="2"/>
          </rPr>
          <t xml:space="preserve">Christian Latour :
</t>
        </r>
        <r>
          <rPr>
            <b/>
            <sz val="9"/>
            <color rgb="FF000000"/>
            <rFont val="Arial"/>
            <family val="2"/>
          </rPr>
          <t xml:space="preserve">7424 — Fournitures de bar
</t>
        </r>
        <r>
          <rPr>
            <b/>
            <sz val="9"/>
            <color rgb="FF000000"/>
            <rFont val="Arial"/>
            <family val="2"/>
          </rPr>
          <t>Montant dépensé pour l’achat de limonadiers (tire-bouchons), de « shakers », de mélangeurs, d’ouvre-bouteilles, de cuillères, de presseurs à fruits, de décorations à verres de boissons, de souvenirs, de mesures à alcool, de couteaux, de pailles, de bouchons (« stoppers »), de pique-fruits, de cure-dents, et, etc.</t>
        </r>
      </text>
    </comment>
    <comment ref="C25" authorId="0" shapeId="0" xr:uid="{70360166-44C4-7B4E-87B9-5EA15B83E602}">
      <text>
        <r>
          <rPr>
            <b/>
            <sz val="9"/>
            <color rgb="FF000000"/>
            <rFont val="Arial"/>
            <family val="2"/>
          </rPr>
          <t xml:space="preserve">Christian Latour :
</t>
        </r>
        <r>
          <rPr>
            <b/>
            <sz val="9"/>
            <color rgb="FF000000"/>
            <rFont val="Arial"/>
            <family val="2"/>
          </rPr>
          <t xml:space="preserve">7426 — Menus et cartes
</t>
        </r>
        <r>
          <rPr>
            <b/>
            <sz val="9"/>
            <color rgb="FF000000"/>
            <rFont val="Arial"/>
            <family val="2"/>
          </rPr>
          <t>Montant dépensé pour l’achat ou la production des menus réguliers ou du jour, des cartes des boissons, des cartes des desserts, des cartes des nouveautés, incluant les frais de graphisme, de coupe, d’impression, de papier, et, etc.</t>
        </r>
      </text>
    </comment>
    <comment ref="C26" authorId="0" shapeId="0" xr:uid="{0B7DDBBD-FC6A-7E47-9F7A-EF424F7DADF3}">
      <text>
        <r>
          <rPr>
            <b/>
            <sz val="9"/>
            <color rgb="FF000000"/>
            <rFont val="Arial"/>
            <family val="2"/>
          </rPr>
          <t xml:space="preserve">Christian Latour :
</t>
        </r>
        <r>
          <rPr>
            <b/>
            <sz val="9"/>
            <color rgb="FF000000"/>
            <rFont val="Arial"/>
            <family val="2"/>
          </rPr>
          <t xml:space="preserve">7428 — Contrat d’entretien ménager
</t>
        </r>
        <r>
          <rPr>
            <b/>
            <sz val="9"/>
            <color rgb="FF000000"/>
            <rFont val="Arial"/>
            <family val="2"/>
          </rPr>
          <t>Montant dépensé pour l’entretien ménager (lavage de vitres) et, etc.</t>
        </r>
      </text>
    </comment>
    <comment ref="C27" authorId="0" shapeId="0" xr:uid="{47D64C38-B61E-FC41-9667-9CC1902F6002}">
      <text>
        <r>
          <rPr>
            <b/>
            <sz val="9"/>
            <color rgb="FF000000"/>
            <rFont val="Arial"/>
            <family val="2"/>
          </rPr>
          <t xml:space="preserve">Christian Latour :
</t>
        </r>
        <r>
          <rPr>
            <b/>
            <sz val="9"/>
            <color rgb="FF000000"/>
            <rFont val="Arial"/>
            <family val="2"/>
          </rPr>
          <t xml:space="preserve">7430 — Services hygiène et salubrité
</t>
        </r>
        <r>
          <rPr>
            <b/>
            <sz val="9"/>
            <color rgb="FF000000"/>
            <rFont val="Arial"/>
            <family val="2"/>
          </rPr>
          <t>Montant dépensé pour l’hygiène et la salubrité (extermination, désinfection, traitement et contrôle des parasites) et,  etc.</t>
        </r>
      </text>
    </comment>
    <comment ref="C28" authorId="0" shapeId="0" xr:uid="{37F03919-E498-6D45-B1E0-A5990EF31FCD}">
      <text>
        <r>
          <rPr>
            <b/>
            <sz val="9"/>
            <color indexed="81"/>
            <rFont val="Arial"/>
            <family val="2"/>
          </rPr>
          <t>Christian Latour :
7432 — Décorations intérieures
Montant dépensé pour les fleurs, plantes, drapeaux, guirlandes, pièces décoratives, aquariums et pour les frais de designers, stylistes et décorateurs, et, etc.</t>
        </r>
      </text>
    </comment>
    <comment ref="C29" authorId="0" shapeId="0" xr:uid="{B1989D60-BF15-204B-8001-4F3856F9B956}">
      <text>
        <r>
          <rPr>
            <b/>
            <sz val="9"/>
            <color indexed="81"/>
            <rFont val="Arial"/>
            <family val="2"/>
          </rPr>
          <t>Christian Latour :
7436 — Stationnement — véhicules des clients
Montant dépensé pour la location d’un abri pour les véhicules (entretien, nettoyage, sécurité) et, etc.</t>
        </r>
      </text>
    </comment>
    <comment ref="C30" authorId="0" shapeId="0" xr:uid="{7B0EE8A1-7297-334A-B874-869CB80288AD}">
      <text>
        <r>
          <rPr>
            <b/>
            <sz val="9"/>
            <color rgb="FF000000"/>
            <rFont val="Arial"/>
            <family val="2"/>
          </rPr>
          <t xml:space="preserve">Christian Latour :
</t>
        </r>
        <r>
          <rPr>
            <b/>
            <sz val="9"/>
            <color rgb="FF000000"/>
            <rFont val="Arial"/>
            <family val="2"/>
          </rPr>
          <t xml:space="preserve">7438 — Droits/permis d’exploitation
</t>
        </r>
        <r>
          <rPr>
            <b/>
            <sz val="9"/>
            <color rgb="FF000000"/>
            <rFont val="Arial"/>
            <family val="2"/>
          </rPr>
          <t>Montant dépensé pour les permis (MAPAQ, RACJQ), les permis spéciaux d’exploitations, les frais d’inspection, les licences, et, etc.</t>
        </r>
      </text>
    </comment>
    <comment ref="C31" authorId="0" shapeId="0" xr:uid="{F2B972FB-9153-BB49-A6C2-2EB9FE0C5CE2}">
      <text>
        <r>
          <rPr>
            <b/>
            <sz val="9"/>
            <color indexed="81"/>
            <rFont val="Arial"/>
            <family val="2"/>
          </rPr>
          <t>Christian Latour :
7440 — Frais de banquet
Montant dépensé pour la location de chaises, d’équipements de banquet, de tables froides, de tables chaudes, de tables de réchauffement, et, etc.</t>
        </r>
      </text>
    </comment>
    <comment ref="C32" authorId="0" shapeId="0" xr:uid="{7B07AE1C-0887-B14F-8AEF-9E000BF49F78}">
      <text>
        <r>
          <rPr>
            <b/>
            <sz val="9"/>
            <color rgb="FF000000"/>
            <rFont val="Arial"/>
            <family val="2"/>
          </rPr>
          <t xml:space="preserve">Christian Latour :
</t>
        </r>
        <r>
          <rPr>
            <b/>
            <sz val="9"/>
            <color rgb="FF000000"/>
            <rFont val="Arial"/>
            <family val="2"/>
          </rPr>
          <t xml:space="preserve">7499 — Autres dépenses d’exploitation
</t>
        </r>
        <r>
          <rPr>
            <b/>
            <sz val="9"/>
            <color rgb="FF000000"/>
            <rFont val="Arial"/>
            <family val="2"/>
          </rPr>
          <t>Autres dépenses directement reliées au service à la clientèle (perte ou dommage à des effets appartenant aux clients) et, etc.</t>
        </r>
      </text>
    </comment>
    <comment ref="C34" authorId="0" shapeId="0" xr:uid="{A6B01D88-D8DA-124E-867D-112E0857C96C}">
      <text>
        <r>
          <rPr>
            <b/>
            <sz val="10"/>
            <color rgb="FF000000"/>
            <rFont val="Arial"/>
            <family val="2"/>
          </rPr>
          <t xml:space="preserve">
</t>
        </r>
        <r>
          <rPr>
            <b/>
            <sz val="10"/>
            <color rgb="FF000000"/>
            <rFont val="Arial"/>
            <family val="2"/>
          </rPr>
          <t xml:space="preserve">Christian Latour
</t>
        </r>
        <r>
          <rPr>
            <b/>
            <sz val="10"/>
            <color rgb="FF000000"/>
            <rFont val="Arial"/>
            <family val="2"/>
          </rPr>
          <t xml:space="preserve">7400 — Coût direct d’exploitation
</t>
        </r>
        <r>
          <rPr>
            <b/>
            <sz val="10"/>
            <color rgb="FF000000"/>
            <rFont val="Arial"/>
            <family val="2"/>
          </rPr>
          <t>Il s’agit du compte de contrôle dans lequel on additionne le total des coûts directs d’exploitation.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4574BE53-FD12-DF4D-A73D-C0915A0898BF}">
      <text>
        <r>
          <rPr>
            <b/>
            <sz val="9"/>
            <color indexed="81"/>
            <rFont val="Arial"/>
            <family val="2"/>
          </rPr>
          <t>Christian Latour:
7505 — Musiciens et animateur
Montant payé pour les services de musiciens, DJ ou autres animateurs).</t>
        </r>
      </text>
    </comment>
    <comment ref="C14" authorId="0" shapeId="0" xr:uid="{2E628E87-2AFF-1E45-8502-795079479EBB}">
      <text>
        <r>
          <rPr>
            <b/>
            <sz val="9"/>
            <color indexed="81"/>
            <rFont val="Arial"/>
            <family val="2"/>
          </rPr>
          <t>Christian Latour:
7510 — « Divertisseurs » professionnel
Montant payé pour les services des acrobates, animateurs, clowns, danseurs, prestidigitateurs et autres amuseurs.</t>
        </r>
      </text>
    </comment>
    <comment ref="C15" authorId="0" shapeId="0" xr:uid="{65E133B1-109C-9944-ADB2-D9127202B48E}">
      <text>
        <r>
          <rPr>
            <b/>
            <sz val="9"/>
            <color rgb="FF000000"/>
            <rFont val="Arial"/>
            <family val="2"/>
          </rPr>
          <t xml:space="preserve">Christian Latour:
</t>
        </r>
        <r>
          <rPr>
            <b/>
            <sz val="9"/>
            <color rgb="FF000000"/>
            <rFont val="Arial"/>
            <family val="2"/>
          </rPr>
          <t xml:space="preserve">7520 — Musique d’ambiance 
</t>
        </r>
        <r>
          <rPr>
            <b/>
            <sz val="9"/>
            <color rgb="FF000000"/>
            <rFont val="Arial"/>
            <family val="2"/>
          </rPr>
          <t>Montant payé pour les CD, les DVD, les MP3, la programmation, et, etc.</t>
        </r>
      </text>
    </comment>
    <comment ref="C16" authorId="0" shapeId="0" xr:uid="{A4AFCF87-91A4-4744-B5AB-A0A5F46764B1}">
      <text>
        <r>
          <rPr>
            <b/>
            <sz val="9"/>
            <color rgb="FF000000"/>
            <rFont val="Arial"/>
            <family val="2"/>
          </rPr>
          <t xml:space="preserve">Christian Latour:
</t>
        </r>
        <r>
          <rPr>
            <b/>
            <sz val="9"/>
            <color rgb="FF000000"/>
            <rFont val="Arial"/>
            <family val="2"/>
          </rPr>
          <t xml:space="preserve">7525 — Service de musique câblée
</t>
        </r>
        <r>
          <rPr>
            <b/>
            <sz val="9"/>
            <color rgb="FF000000"/>
            <rFont val="Arial"/>
            <family val="2"/>
          </rPr>
          <t>Montant payé pour le service de câble, les services offerts par les fournisseurs de musique d’ambiance, et, etc.</t>
        </r>
        <r>
          <rPr>
            <sz val="9"/>
            <color rgb="FF000000"/>
            <rFont val="Arial"/>
            <family val="2"/>
          </rPr>
          <t xml:space="preserve">
</t>
        </r>
        <r>
          <rPr>
            <sz val="9"/>
            <color rgb="FF000000"/>
            <rFont val="Arial"/>
            <family val="2"/>
          </rPr>
          <t xml:space="preserve">
</t>
        </r>
      </text>
    </comment>
    <comment ref="C17" authorId="0" shapeId="0" xr:uid="{ACECCE5C-C443-A64E-A03E-49761A987017}">
      <text>
        <r>
          <rPr>
            <b/>
            <sz val="9"/>
            <color rgb="FF000000"/>
            <rFont val="Arial"/>
            <family val="2"/>
          </rPr>
          <t xml:space="preserve">Christian Latour:
</t>
        </r>
        <r>
          <rPr>
            <b/>
            <sz val="9"/>
            <color rgb="FF000000"/>
            <rFont val="Arial"/>
            <family val="2"/>
          </rPr>
          <t xml:space="preserve">7530 — Location de piano et autres instruments et réglage (tuning)
</t>
        </r>
        <r>
          <rPr>
            <b/>
            <sz val="9"/>
            <color rgb="FF000000"/>
            <rFont val="Arial"/>
            <family val="2"/>
          </rPr>
          <t>Montant payé pour la location d’un piano ou d’un autre instrument de musique incluant l’entretien et les ajustements périodiques.</t>
        </r>
      </text>
    </comment>
    <comment ref="C18" authorId="0" shapeId="0" xr:uid="{B0456CB0-D79E-0140-999A-A39D90F00A1C}">
      <text>
        <r>
          <rPr>
            <b/>
            <sz val="9"/>
            <color indexed="81"/>
            <rFont val="Arial"/>
            <family val="2"/>
          </rPr>
          <t>Christian Latour:
7535 — Soutien matériel aux musiciens
Montant payé pour les films, enregistrements, cassettes, feuilles de musique et autre matériel nécessaire aux musiciens et/ou aux animateurs.</t>
        </r>
      </text>
    </comment>
    <comment ref="C19" authorId="0" shapeId="0" xr:uid="{4C705C2B-07CE-C447-BEE0-023FC82A7236}">
      <text>
        <r>
          <rPr>
            <b/>
            <sz val="9"/>
            <color indexed="81"/>
            <rFont val="Arial"/>
            <family val="2"/>
          </rPr>
          <t>Christian Latour:</t>
        </r>
        <r>
          <rPr>
            <sz val="9"/>
            <color indexed="81"/>
            <rFont val="Arial"/>
            <family val="2"/>
          </rPr>
          <t xml:space="preserve">
</t>
        </r>
        <r>
          <rPr>
            <b/>
            <sz val="9"/>
            <color indexed="81"/>
            <rFont val="Arial"/>
            <family val="2"/>
          </rPr>
          <t>7550 — Redevances à la SOCAN
Montant payé pour les droits de diffusion de la musique dans un endroit public.</t>
        </r>
      </text>
    </comment>
    <comment ref="C20" authorId="0" shapeId="0" xr:uid="{C7409FB5-7BBF-7D4D-9616-0BBFCB5ECD6C}">
      <text>
        <r>
          <rPr>
            <b/>
            <sz val="9"/>
            <color indexed="81"/>
            <rFont val="Arial"/>
            <family val="2"/>
          </rPr>
          <t>Christian Latour:
7555 — Frais d’agent d’artiste
Montant payé aux agents d’artistes pour les prestations des artistes..</t>
        </r>
      </text>
    </comment>
    <comment ref="C21" authorId="0" shapeId="0" xr:uid="{4EF9407F-F122-2B43-942A-1F37FC67D12F}">
      <text>
        <r>
          <rPr>
            <b/>
            <sz val="9"/>
            <color rgb="FF000000"/>
            <rFont val="Arial"/>
            <family val="2"/>
          </rPr>
          <t xml:space="preserve">Christian Latour:
</t>
        </r>
        <r>
          <rPr>
            <b/>
            <sz val="9"/>
            <color rgb="FF000000"/>
            <rFont val="Arial"/>
            <family val="2"/>
          </rPr>
          <t xml:space="preserve">7560 — Repas des musiciens et autres animateurs
</t>
        </r>
        <r>
          <rPr>
            <b/>
            <sz val="9"/>
            <color rgb="FF000000"/>
            <rFont val="Arial"/>
            <family val="2"/>
          </rPr>
          <t>Montant payé pour les repas des musiciens et autres animateurs et leurs accompagnateurs.</t>
        </r>
      </text>
    </comment>
    <comment ref="C22" authorId="0" shapeId="0" xr:uid="{342968A4-ED78-694E-997F-A498D3704068}">
      <text>
        <r>
          <rPr>
            <b/>
            <sz val="9"/>
            <color indexed="81"/>
            <rFont val="Arial"/>
            <family val="2"/>
          </rPr>
          <t>Christian Latour:</t>
        </r>
        <r>
          <rPr>
            <sz val="9"/>
            <color indexed="81"/>
            <rFont val="Arial"/>
            <family val="2"/>
          </rPr>
          <t xml:space="preserve">
</t>
        </r>
        <r>
          <rPr>
            <b/>
            <sz val="9"/>
            <color indexed="81"/>
            <rFont val="Arial"/>
            <family val="2"/>
          </rPr>
          <t>7599 — Autres coûts associés à Musique &amp; Divertissement
Autre montant payé, pour assurer les services de musique et divertissement de l’établissement, qui n’est pas directement affecté à un compte spécifique déjà établi.</t>
        </r>
        <r>
          <rPr>
            <sz val="9"/>
            <color indexed="81"/>
            <rFont val="Arial"/>
            <family val="2"/>
          </rPr>
          <t xml:space="preserve">
</t>
        </r>
      </text>
    </comment>
    <comment ref="C24" authorId="0" shapeId="0" xr:uid="{6AFCF27C-51F9-284C-A6E3-3F2425FB3EEE}">
      <text>
        <r>
          <rPr>
            <b/>
            <sz val="10"/>
            <color rgb="FF000000"/>
            <rFont val="Arial"/>
            <family val="2"/>
          </rPr>
          <t xml:space="preserve">
</t>
        </r>
        <r>
          <rPr>
            <b/>
            <sz val="10"/>
            <color rgb="FF000000"/>
            <rFont val="Arial"/>
            <family val="2"/>
          </rPr>
          <t xml:space="preserve">Christian Latour
</t>
        </r>
        <r>
          <rPr>
            <b/>
            <sz val="10"/>
            <color rgb="FF000000"/>
            <rFont val="Arial"/>
            <family val="2"/>
          </rPr>
          <t xml:space="preserve">7500 — Musique &amp; Divertissement
</t>
        </r>
        <r>
          <rPr>
            <b/>
            <sz val="10"/>
            <color rgb="FF000000"/>
            <rFont val="Arial"/>
            <family val="2"/>
          </rPr>
          <t>Il s’agit du compte de contrôle dans lequel on additionne le total des coûts d’occupation.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652D110F-8091-DD47-8ABD-9E225246EF42}">
      <text>
        <r>
          <rPr>
            <b/>
            <sz val="9"/>
            <color indexed="81"/>
            <rFont val="Arial"/>
            <family val="2"/>
          </rPr>
          <t>Christian Latour :
7610 — Recherche marketing
Ensemble des coûts nécessaires pour mener à bien les différentes activités de recherches marketing de l’entreprise.</t>
        </r>
      </text>
    </comment>
    <comment ref="C14" authorId="0" shapeId="0" xr:uid="{66B401EB-A7B6-6740-A402-DA8B484A8E90}">
      <text>
        <r>
          <rPr>
            <b/>
            <sz val="9"/>
            <color indexed="81"/>
            <rFont val="Arial"/>
            <family val="2"/>
          </rPr>
          <t>Christian Latour:
7615 — Recherche &amp; Développement de nouveaux produits
Ensemble des coûts nécessaires pour mener à bien l’activité « Recherches &amp; Développement » qui est une des 9 activités clés des entreprises de restauration alimentaire.
On comptabilise entre autres dans ce compte les coûts encourus pour : la création, le développement et la production de nouveaux plats dans le but de les ajouter sur la carte nourriture de l’entreprise, les coûts relatifs à l’étude et à la dégustation de différents produits boissons dans le but de les ajouter sur la carte des boissons de l’entreprise, les coûts des visites d’observation dans des entreprises de restauration alimentaire concurrente, les coûts des voyages effectués à des fins de recherche (pour du matériel, des équipements, des produits, et, etc.), et, etc.</t>
        </r>
      </text>
    </comment>
    <comment ref="C15" authorId="0" shapeId="0" xr:uid="{55E5367A-89B3-F440-BC40-479034563B3C}">
      <text>
        <r>
          <rPr>
            <b/>
            <sz val="9"/>
            <color indexed="81"/>
            <rFont val="Arial"/>
            <family val="2"/>
          </rPr>
          <t>Christian Latour :
7620 — Publicité
Ensemble des coûts nécessaires pour la création, la production, la diffusion des messages publicitaires par l’entremise soient de la télévision, la radio, la presse écrite, l’affichage, le cinéma, internet, et, etc.</t>
        </r>
      </text>
    </comment>
    <comment ref="C16" authorId="0" shapeId="0" xr:uid="{725F5907-A2B5-964F-9A9E-21196E27529A}">
      <text>
        <r>
          <rPr>
            <b/>
            <sz val="9"/>
            <color indexed="81"/>
            <rFont val="Arial"/>
            <family val="2"/>
          </rPr>
          <t>Christian Latour :
7630 — Relations publiques
Ensemble des coûts nécessaires pour établir et assurer des relations d’affaires durables avec les différents publics de l’entreprise.
On comptabilise entre autres dans ce compte les coûts encourus pour : les frais de déplacement, les honoraires professionnels payés pour la création d’un communiqué de presse, et, etc.</t>
        </r>
      </text>
    </comment>
    <comment ref="C17" authorId="0" shapeId="0" xr:uid="{F2902655-48D8-AC48-80FF-D9E3CC704274}">
      <text>
        <r>
          <rPr>
            <b/>
            <sz val="9"/>
            <color indexed="81"/>
            <rFont val="Arial"/>
            <family val="2"/>
          </rPr>
          <t>Christian Latour:
7640 — Ventes directes
Ensemble des coûts nécessaires pour assurer la vente directe par l’entremise de représentants.
On comptabilise entre autres dans ce compte les coûts encourus pour : les rémunérations des représentants, les frais de déplacement, les frais de postes et messageries, les coûts associés aux télécommunications, et, etc.</t>
        </r>
      </text>
    </comment>
    <comment ref="C18" authorId="0" shapeId="0" xr:uid="{4DB5FC5B-AD68-2E4E-BA0D-42465BF3037C}">
      <text>
        <r>
          <rPr>
            <b/>
            <sz val="9"/>
            <color indexed="81"/>
            <rFont val="Arial"/>
            <family val="2"/>
          </rPr>
          <t>Christian Latour :
7650 — Promotion
Ensemble des coûts nécessaires pour assurer la promotion de l’établissement et de ses différents produits et services.
On comptabilise entre autres dans ce compte les coûts encourus pour : la nourriture et la boisson offertes gratuitement aux clients par la maison, les coûts d’achat et/ou de production pour les cadeaux promotionnels offerts aux clients, les coûts payés pour inscrire le nom de l’entreprise ou son logo sur le matériel de l’entreprise (les verres, les assiettes, et, etc.), et, etc.</t>
        </r>
      </text>
    </comment>
    <comment ref="C19" authorId="0" shapeId="0" xr:uid="{35796CEB-2BF0-924A-ABF4-F69D8F6889AD}">
      <text>
        <r>
          <rPr>
            <b/>
            <sz val="9"/>
            <color rgb="FF000000"/>
            <rFont val="Arial"/>
            <family val="2"/>
          </rPr>
          <t xml:space="preserve">Christian Latour :
</t>
        </r>
        <r>
          <rPr>
            <b/>
            <sz val="9"/>
            <color rgb="FF000000"/>
            <rFont val="Arial"/>
            <family val="2"/>
          </rPr>
          <t xml:space="preserve">7660 — Marketing direct
</t>
        </r>
        <r>
          <rPr>
            <b/>
            <sz val="9"/>
            <color rgb="FF000000"/>
            <rFont val="Arial"/>
            <family val="2"/>
          </rPr>
          <t xml:space="preserve">Ensemble des coûts nécessaires pour assurer une communication directe et personnalisée avec des consommateurs ciblés individuellement.
</t>
        </r>
        <r>
          <rPr>
            <b/>
            <sz val="9"/>
            <color rgb="FF000000"/>
            <rFont val="Arial"/>
            <family val="2"/>
          </rPr>
          <t xml:space="preserve">
</t>
        </r>
        <r>
          <rPr>
            <b/>
            <sz val="9"/>
            <color rgb="FF000000"/>
            <rFont val="Arial"/>
            <family val="2"/>
          </rPr>
          <t>On comptabilise entre autres dans ce compte les coûts encourus pour : la collecte et l’exploitation dans une base de données des informations individuelles, les coûts encourus pour la création, la production et la diffusion de message personnalisé (par la poste, par « mailing » ou autrement), et, etc.</t>
        </r>
      </text>
    </comment>
    <comment ref="C20" authorId="0" shapeId="0" xr:uid="{EDF54505-B3B1-C840-80F9-2DB06503B6C3}">
      <text>
        <r>
          <rPr>
            <b/>
            <sz val="9"/>
            <color indexed="81"/>
            <rFont val="Arial"/>
            <family val="2"/>
          </rPr>
          <t>Christian Latour :
7670 — Commandite
Ensemble des coûts nécessaires pour faire ce qu’il y a faire en matière de commandite.
On comptabilise entre autres dans ce compte les coûts encourus pour : les dons à des œuvres de charité, les commandites d’athlète ou d’équipes sportives, et, etc.</t>
        </r>
      </text>
    </comment>
    <comment ref="C21" authorId="0" shapeId="0" xr:uid="{10F7996C-5B39-7444-A2A4-0AAAB6971AE7}">
      <text>
        <r>
          <rPr>
            <b/>
            <sz val="9"/>
            <color indexed="81"/>
            <rFont val="Arial"/>
            <family val="2"/>
          </rPr>
          <t>Christian Latour :
7680 — Placement de produit
Ensemble des coûts nécessaires pour assurer l’intégration d’un produit ou de la marque de commerce dans une émission de télévision, un film, une pièce de théâtre, un vidéoclip, un livre, et, etc. avec en tête les intentions de la communication marketing.</t>
        </r>
      </text>
    </comment>
    <comment ref="C22" authorId="0" shapeId="0" xr:uid="{BAB6893B-0202-0644-82C5-F3AF5304A63A}">
      <text>
        <r>
          <rPr>
            <b/>
            <sz val="9"/>
            <color indexed="81"/>
            <rFont val="Arial"/>
            <family val="2"/>
          </rPr>
          <t>Christian Latour :
7690 — Communication événementielle
Ensemble des coûts nécessaires pour assurer la planification, l’organisation et la mise en œuvre des différents événements promotionnels de l’entreprise.
On comptabilise entre autres dans ce compte les coûts encourus pour : les honoraires payés à une agence spécialisée en organisation d’événement, la création, la production et la diffusion d’invitation à un événement, l’animation et l’animation artistique lors d’un événement, la location d’équipement e/ou de matériel, la location de personnel, et, etc.</t>
        </r>
      </text>
    </comment>
    <comment ref="C23" authorId="0" shapeId="0" xr:uid="{4205B179-FD8D-3341-A0AE-E6766F88B854}">
      <text>
        <r>
          <rPr>
            <b/>
            <sz val="9"/>
            <color rgb="FF000000"/>
            <rFont val="Arial"/>
            <family val="2"/>
          </rPr>
          <t xml:space="preserve">Christian Latour :
</t>
        </r>
        <r>
          <rPr>
            <b/>
            <sz val="9"/>
            <color rgb="FF000000"/>
            <rFont val="Arial"/>
            <family val="2"/>
          </rPr>
          <t xml:space="preserve">7699 — Autres coûts 
</t>
        </r>
        <r>
          <rPr>
            <b/>
            <sz val="9"/>
            <color rgb="FF000000"/>
            <rFont val="Arial"/>
            <family val="2"/>
          </rPr>
          <t>Ensemble des coûts encourus afin d’assurer le marketing et les communications marketing d’une entreprise de restauration alimentaire et qui ne peut pas être directement comptabilisé dans les comptes précédents.</t>
        </r>
      </text>
    </comment>
    <comment ref="C25" authorId="0" shapeId="0" xr:uid="{2E92BF89-85CE-3247-89BC-A1752AC06DA5}">
      <text>
        <r>
          <rPr>
            <b/>
            <sz val="10"/>
            <color indexed="81"/>
            <rFont val="Arial"/>
            <family val="2"/>
          </rPr>
          <t>Christian Latour :
7600 — Marketing &amp; Communication marketing
Il s’agit du compte de contrôle dans lequel on additionne le total des coûts encourus pour l’ensemble des activités relatif au marketing et à la communication marketing.</t>
        </r>
        <r>
          <rPr>
            <sz val="10"/>
            <rFont val="Arial"/>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D80EBE94-2EA9-3644-BCAB-CF149BC9C6FD}">
      <text>
        <r>
          <rPr>
            <b/>
            <sz val="9"/>
            <color rgb="FF000000"/>
            <rFont val="Arial"/>
            <family val="2"/>
          </rPr>
          <t xml:space="preserve">Christian Latour:
</t>
        </r>
        <r>
          <rPr>
            <b/>
            <sz val="9"/>
            <color rgb="FF000000"/>
            <rFont val="Arial"/>
            <family val="2"/>
          </rPr>
          <t xml:space="preserve">7705 — Électricité
</t>
        </r>
        <r>
          <rPr>
            <b/>
            <sz val="9"/>
            <color rgb="FF000000"/>
            <rFont val="Arial"/>
            <family val="2"/>
          </rPr>
          <t>Montant payé pour l’utilisation de l’électricité.</t>
        </r>
      </text>
    </comment>
    <comment ref="C14" authorId="0" shapeId="0" xr:uid="{901295E1-532B-8842-92C9-C4EBA48D64F2}">
      <text>
        <r>
          <rPr>
            <b/>
            <sz val="9"/>
            <color rgb="FF000000"/>
            <rFont val="Arial"/>
            <family val="2"/>
          </rPr>
          <t xml:space="preserve">Christian Latour:
</t>
        </r>
        <r>
          <rPr>
            <b/>
            <sz val="9"/>
            <color rgb="FF000000"/>
            <rFont val="Arial"/>
            <family val="2"/>
          </rPr>
          <t xml:space="preserve">7710 — Accessoires électriques
</t>
        </r>
        <r>
          <rPr>
            <b/>
            <sz val="9"/>
            <color rgb="FF000000"/>
            <rFont val="Arial"/>
            <family val="2"/>
          </rPr>
          <t>Montant payé pour le remplacement des ampoules, des néons ainsi que des autres petits accessoires électriques.</t>
        </r>
      </text>
    </comment>
    <comment ref="C15" authorId="0" shapeId="0" xr:uid="{B6595C54-A44F-584D-A181-9A45D85C9ACF}">
      <text>
        <r>
          <rPr>
            <b/>
            <sz val="9"/>
            <color rgb="FF000000"/>
            <rFont val="Arial"/>
            <family val="2"/>
          </rPr>
          <t xml:space="preserve">Christian Latour:
</t>
        </r>
        <r>
          <rPr>
            <b/>
            <sz val="9"/>
            <color rgb="FF000000"/>
            <rFont val="Arial"/>
            <family val="2"/>
          </rPr>
          <t xml:space="preserve">715 — Eau et glace
</t>
        </r>
        <r>
          <rPr>
            <b/>
            <sz val="9"/>
            <color rgb="FF000000"/>
            <rFont val="Arial"/>
            <family val="2"/>
          </rPr>
          <t>Montant payé pour l’utilisation de l’eau incluant les coûts nécessaires pour en assurer la purification. Montant payé pour l’achat ou la fabrication de la glace, des accessoires pour sa manipulation ainsi que pour l’utilisation et l’entretien des machines à glace. Le montant d’achat de glace pour les sculptures de glaces devrait également être inclus dans le compte.</t>
        </r>
      </text>
    </comment>
    <comment ref="C16" authorId="0" shapeId="0" xr:uid="{3A33816A-9868-2D46-A0D2-869131316F03}">
      <text>
        <r>
          <rPr>
            <b/>
            <sz val="9"/>
            <color indexed="81"/>
            <rFont val="Arial"/>
            <family val="2"/>
          </rPr>
          <t>Christian Latour:
7720 — Enlèvement des ordures
Montant payé pour la gestion et l’enlèvement des ordures incluant le coût de location d’un contenant à ordure, le coût de location d’un incinérateur, etc.</t>
        </r>
        <r>
          <rPr>
            <sz val="9"/>
            <color indexed="81"/>
            <rFont val="Arial"/>
            <family val="2"/>
          </rPr>
          <t xml:space="preserve">
</t>
        </r>
      </text>
    </comment>
    <comment ref="C17" authorId="0" shapeId="0" xr:uid="{B31B58D2-079D-554D-9CF0-D9628D1A0CBB}">
      <text>
        <r>
          <rPr>
            <b/>
            <sz val="9"/>
            <color indexed="81"/>
            <rFont val="Arial"/>
            <family val="2"/>
          </rPr>
          <t>Christian Latour:
7725 — Autres énergies
Montant payé pour l’utilisation des autres énergies incluant les coûts reliés à l’utilisation du gaz ou de l’huile.</t>
        </r>
      </text>
    </comment>
    <comment ref="C18" authorId="0" shapeId="0" xr:uid="{8E849AD7-3F51-D543-981C-85C9B3A7684A}">
      <text>
        <r>
          <rPr>
            <b/>
            <sz val="9"/>
            <color indexed="81"/>
            <rFont val="Arial"/>
            <family val="2"/>
          </rPr>
          <t>Christian Latour:
7730 — Fournitures de mécanique et d’électricité
Montant payé pour l’utilisation des huiles, fusibles, graisses, solvants et petits outils utilisés pour les opérations de maintenance, et, etc.</t>
        </r>
      </text>
    </comment>
    <comment ref="C19" authorId="0" shapeId="0" xr:uid="{895D00CD-F6E8-1447-9574-3C9FE226F8A1}">
      <text>
        <r>
          <rPr>
            <b/>
            <sz val="9"/>
            <color indexed="81"/>
            <rFont val="Arial"/>
            <family val="2"/>
          </rPr>
          <t>Christian Latour:</t>
        </r>
        <r>
          <rPr>
            <sz val="9"/>
            <color indexed="81"/>
            <rFont val="Arial"/>
            <family val="2"/>
          </rPr>
          <t xml:space="preserve">
</t>
        </r>
        <r>
          <rPr>
            <b/>
            <sz val="9"/>
            <color indexed="81"/>
            <rFont val="Arial"/>
            <family val="2"/>
          </rPr>
          <t>7790 — Revenus de recyclage
Montant reçu pour les articles ou déchets recyclés et pour lesquels on a obtenu une compensation en argent. Les inscriptions dans ce compte doivent être faites au crédit plutôt qu’au débit. Le montant inscrit dans ce compte a donc pour effet de diminuer le montant total dépensé pour les services publics.</t>
        </r>
      </text>
    </comment>
    <comment ref="C20" authorId="0" shapeId="0" xr:uid="{3E51584A-F024-C94D-BF1F-6B4F3AC9251F}">
      <text>
        <r>
          <rPr>
            <b/>
            <sz val="9"/>
            <color indexed="81"/>
            <rFont val="Arial"/>
            <family val="2"/>
          </rPr>
          <t>Christian Latour:
795 — Reventes de services utilitaires 
Montant reçu pour la vente d’électricité, glace, eau ou de tout autre élément contenu dans la section « Services publics » à un locataire, à un concessionnaire ou à n’importe quel autre acheteur. Les inscriptions dans ce compte doivent être faites au crédit plutôt qu’au débit. Le montant inscrit dans ce compte a donc pour effet de diminuer le montant total dépensé pour les services publics.</t>
        </r>
      </text>
    </comment>
    <comment ref="C21" authorId="0" shapeId="0" xr:uid="{C0201617-42C5-1C41-90E8-1888E3D00388}">
      <text>
        <r>
          <rPr>
            <b/>
            <sz val="9"/>
            <color indexed="81"/>
            <rFont val="Arial"/>
            <family val="2"/>
          </rPr>
          <t>Christian Latour:</t>
        </r>
        <r>
          <rPr>
            <sz val="9"/>
            <color indexed="81"/>
            <rFont val="Arial"/>
            <family val="2"/>
          </rPr>
          <t xml:space="preserve">
</t>
        </r>
        <r>
          <rPr>
            <b/>
            <sz val="9"/>
            <color indexed="81"/>
            <rFont val="Arial"/>
            <family val="2"/>
          </rPr>
          <t>7799 — Autres coûts associés aux services publics
Autres montants payés pour les services publics qui n’est pas comptabilisé dans l’un des comptes précédents.</t>
        </r>
      </text>
    </comment>
    <comment ref="C23" authorId="0" shapeId="0" xr:uid="{69C9F9B2-51A9-3D43-83B6-CF57A5877F37}">
      <text>
        <r>
          <rPr>
            <b/>
            <sz val="10"/>
            <color rgb="FF000000"/>
            <rFont val="Arial"/>
            <family val="2"/>
          </rPr>
          <t xml:space="preserve">
</t>
        </r>
        <r>
          <rPr>
            <b/>
            <sz val="10"/>
            <color rgb="FF000000"/>
            <rFont val="Arial"/>
            <family val="2"/>
          </rPr>
          <t xml:space="preserve">Christian Latour
</t>
        </r>
        <r>
          <rPr>
            <b/>
            <sz val="10"/>
            <color rgb="FF000000"/>
            <rFont val="Arial"/>
            <family val="2"/>
          </rPr>
          <t xml:space="preserve">7700 — Services publics
</t>
        </r>
        <r>
          <rPr>
            <b/>
            <sz val="10"/>
            <color rgb="FF000000"/>
            <rFont val="Arial"/>
            <family val="2"/>
          </rPr>
          <t>Il s’agit du compte de contrôle dans lequel on additionne le total des coûts de la catégorie services publics.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FC698E9C-9DF8-774B-B25E-6EA2F0FF23AF}">
      <text>
        <r>
          <rPr>
            <b/>
            <sz val="9"/>
            <color indexed="81"/>
            <rFont val="Arial"/>
            <family val="2"/>
          </rPr>
          <t>Christian Latour :
7805 - Fournitures de bureau et impression
Montant payé pour les impressions des documents comptables, les autres fournitures de bureau telles que trombones, papiers, stylos et autres fournitures utilisées pour la facturation et l’encaissement des transactions (factures, papiers à lettres, enveloppes, et, etc.).</t>
        </r>
      </text>
    </comment>
    <comment ref="C14" authorId="0" shapeId="0" xr:uid="{D3D5FF01-25DE-2640-A2D0-B4870F49B623}">
      <text>
        <r>
          <rPr>
            <b/>
            <sz val="9"/>
            <color indexed="81"/>
            <rFont val="Arial"/>
            <family val="2"/>
          </rPr>
          <t>Christian Latour :
7810 - Traitement de données
Montant payé pour le traitement électronique de l’information tel que le service de préparation de la paye lorsqu’il est effectué à l’extérieur de l’entreprise par une firme spécialisée. On comptabilise également dans ce compte l’amortissement des différents logiciels qui sont utilisés pour le traitement de l’information (traitement de texte, chiffrier électronique, logiciel de comptabilité, et, etc.).</t>
        </r>
      </text>
    </comment>
    <comment ref="C15" authorId="0" shapeId="0" xr:uid="{DA3339C5-17E3-4C4A-BA58-0065800625CE}">
      <text>
        <r>
          <rPr>
            <b/>
            <sz val="9"/>
            <color rgb="FF000000"/>
            <rFont val="Arial"/>
            <family val="2"/>
          </rPr>
          <t xml:space="preserve">Christian Latour :
</t>
        </r>
        <r>
          <rPr>
            <b/>
            <sz val="9"/>
            <color rgb="FF000000"/>
            <rFont val="Arial"/>
            <family val="2"/>
          </rPr>
          <t xml:space="preserve">7815 - Poste et messagerie
</t>
        </r>
        <r>
          <rPr>
            <b/>
            <sz val="9"/>
            <color rgb="FF000000"/>
            <rFont val="Arial"/>
            <family val="2"/>
          </rPr>
          <t>Montant payé pour les frais de timbres, de poste et de messagerie qui ne sont pas reliés aux activités de marketing.</t>
        </r>
      </text>
    </comment>
    <comment ref="C16" authorId="0" shapeId="0" xr:uid="{7925C742-52BA-DD4A-83F9-AF370DF3829B}">
      <text>
        <r>
          <rPr>
            <b/>
            <sz val="9"/>
            <color rgb="FF000000"/>
            <rFont val="Arial"/>
            <family val="2"/>
          </rPr>
          <t xml:space="preserve">Christian Latour :
</t>
        </r>
        <r>
          <rPr>
            <b/>
            <sz val="9"/>
            <color rgb="FF000000"/>
            <rFont val="Arial"/>
            <family val="2"/>
          </rPr>
          <t xml:space="preserve">7820 - Télécommunications
</t>
        </r>
        <r>
          <rPr>
            <b/>
            <sz val="9"/>
            <color rgb="FF000000"/>
            <rFont val="Arial"/>
            <family val="2"/>
          </rPr>
          <t>Montant payé pour la location de l’équipement téléphonique, la ligne locale et les appels interurbains, exception faite des montants qui peuvent être attribués directement aux activités de marketing. Les services utilitaires tels que les téléavertisseurs et les cellulaires sont également comptabilisés dans ce compte.</t>
        </r>
      </text>
    </comment>
    <comment ref="C17" authorId="0" shapeId="0" xr:uid="{A1649918-C98F-9A40-B8CB-2CFF34D5D70A}">
      <text>
        <r>
          <rPr>
            <b/>
            <sz val="9"/>
            <color rgb="FF000000"/>
            <rFont val="Arial"/>
            <family val="2"/>
          </rPr>
          <t xml:space="preserve">Christian Latour :
</t>
        </r>
        <r>
          <rPr>
            <b/>
            <sz val="9"/>
            <color rgb="FF000000"/>
            <rFont val="Arial"/>
            <family val="2"/>
          </rPr>
          <t xml:space="preserve">7825 - Associations, droits et cotisations
</t>
        </r>
        <r>
          <rPr>
            <b/>
            <sz val="9"/>
            <color rgb="FF000000"/>
            <rFont val="Arial"/>
            <family val="2"/>
          </rPr>
          <t>Montant payé pour l’abonnement à des associations telles que l’Association des restaurateurs du Québec (ARQ), la chambre de commerce, et, etc. On comptabilise également dans cette section le coût des abonnements à des journaux et magazines spécialisés qui sont utilisés par les gestionnaires et le personnel.</t>
        </r>
      </text>
    </comment>
    <comment ref="C18" authorId="0" shapeId="0" xr:uid="{805304EB-F9D5-6940-84DD-3102AE20ACBE}">
      <text>
        <r>
          <rPr>
            <b/>
            <sz val="9"/>
            <color rgb="FF000000"/>
            <rFont val="Arial"/>
            <family val="2"/>
          </rPr>
          <t xml:space="preserve">Christian Latour :
</t>
        </r>
        <r>
          <rPr>
            <b/>
            <sz val="9"/>
            <color rgb="FF000000"/>
            <rFont val="Arial"/>
            <family val="2"/>
          </rPr>
          <t xml:space="preserve">7830 - Déplacement
</t>
        </r>
        <r>
          <rPr>
            <b/>
            <sz val="9"/>
            <color rgb="FF000000"/>
            <rFont val="Arial"/>
            <family val="2"/>
          </rPr>
          <t>Montant payé pour le transport des gérants et des gestionnaires lorsqu’ils se déplacent dans le cadre de leur fonction. Si les déplacements sont effectués dans le contexte des activités de marketing, les dépenses sont alors inscrites dans le compte 7603 - Déplacements.</t>
        </r>
      </text>
    </comment>
    <comment ref="C19" authorId="0" shapeId="0" xr:uid="{BCC2447A-5E18-494A-8D42-9D2CE694044A}">
      <text>
        <r>
          <rPr>
            <b/>
            <sz val="9"/>
            <color rgb="FF000000"/>
            <rFont val="Arial"/>
            <family val="2"/>
          </rPr>
          <t xml:space="preserve">Christian Latour :
</t>
        </r>
        <r>
          <rPr>
            <b/>
            <sz val="9"/>
            <color rgb="FF000000"/>
            <rFont val="Arial"/>
            <family val="2"/>
          </rPr>
          <t xml:space="preserve">7835 - Assurances générales
</t>
        </r>
        <r>
          <rPr>
            <b/>
            <sz val="9"/>
            <color rgb="FF000000"/>
            <rFont val="Arial"/>
            <family val="2"/>
          </rPr>
          <t>Montant payé pour les assurances qui couvrent, notamment, vol, fraude, vandalisme, falsification, bris d’équipement, assurance-vie des dirigeants, et, etc. Les assurances qui sont pour le bénéfice des employés doivent être comptabilisés dans la section 7200. Pour ce qui est des assurances incendie et couverture étendue, les montants doivent être comptabilisés dans le compte 7370.</t>
        </r>
      </text>
    </comment>
    <comment ref="C20" authorId="0" shapeId="0" xr:uid="{400B979A-4AF6-EE4D-A945-C13DE6C5F087}">
      <text>
        <r>
          <rPr>
            <b/>
            <sz val="9"/>
            <color rgb="FF000000"/>
            <rFont val="Arial"/>
            <family val="2"/>
          </rPr>
          <t xml:space="preserve">Christian Latour :
</t>
        </r>
        <r>
          <rPr>
            <b/>
            <sz val="9"/>
            <color rgb="FF000000"/>
            <rFont val="Arial"/>
            <family val="2"/>
          </rPr>
          <t xml:space="preserve">7840 - Frais d’escompte sur les cartes de crédit
</t>
        </r>
        <r>
          <rPr>
            <b/>
            <sz val="9"/>
            <color rgb="FF000000"/>
            <rFont val="Arial"/>
            <family val="2"/>
          </rPr>
          <t>Montant payé aux compagnies émettrices de cartes de crédit pour la gestion et le remboursement des transactions effectuées par carte de crédit.</t>
        </r>
      </text>
    </comment>
    <comment ref="C21" authorId="0" shapeId="0" xr:uid="{E778BBBB-96BA-FD4D-9752-AF661C9E345F}">
      <text>
        <r>
          <rPr>
            <b/>
            <sz val="9"/>
            <color rgb="FF000000"/>
            <rFont val="Arial"/>
            <family val="2"/>
          </rPr>
          <t xml:space="preserve">Christian Latour :
</t>
        </r>
        <r>
          <rPr>
            <b/>
            <sz val="9"/>
            <color rgb="FF000000"/>
            <rFont val="Arial"/>
            <family val="2"/>
          </rPr>
          <t xml:space="preserve">7845 - Provision pour mauvaises créances
</t>
        </r>
        <r>
          <rPr>
            <b/>
            <sz val="9"/>
            <color rgb="FF000000"/>
            <rFont val="Arial"/>
            <family val="2"/>
          </rPr>
          <t xml:space="preserve">Montant payé pour le recouvrement de mauvaises créances.
</t>
        </r>
        <r>
          <rPr>
            <b/>
            <sz val="9"/>
            <color rgb="FF000000"/>
            <rFont val="Arial"/>
            <family val="2"/>
          </rPr>
          <t xml:space="preserve">
</t>
        </r>
      </text>
    </comment>
    <comment ref="C22" authorId="0" shapeId="0" xr:uid="{DF5FCDC4-01C3-9449-B401-7C94CD869F5C}">
      <text>
        <r>
          <rPr>
            <b/>
            <sz val="9"/>
            <color rgb="FF000000"/>
            <rFont val="Arial"/>
            <family val="2"/>
          </rPr>
          <t xml:space="preserve">Christian Latour :
</t>
        </r>
        <r>
          <rPr>
            <b/>
            <sz val="9"/>
            <color rgb="FF000000"/>
            <rFont val="Arial"/>
            <family val="2"/>
          </rPr>
          <t xml:space="preserve">7850 - Déficit et surplus de caisse
</t>
        </r>
        <r>
          <rPr>
            <b/>
            <sz val="9"/>
            <color rgb="FF000000"/>
            <rFont val="Arial"/>
            <family val="2"/>
          </rPr>
          <t xml:space="preserve">Montant reçu en trop ou en moins compte tenu des transactions réellement réalisées par l’entreprise.
</t>
        </r>
        <r>
          <rPr>
            <b/>
            <sz val="9"/>
            <color rgb="FF000000"/>
            <rFont val="Arial"/>
            <family val="2"/>
          </rPr>
          <t xml:space="preserve">
</t>
        </r>
      </text>
    </comment>
    <comment ref="C23" authorId="0" shapeId="0" xr:uid="{93B9F501-C3BE-F344-96EB-17F6BA91CC69}">
      <text>
        <r>
          <rPr>
            <b/>
            <sz val="9"/>
            <color rgb="FF000000"/>
            <rFont val="Arial"/>
            <family val="2"/>
          </rPr>
          <t xml:space="preserve">Christian Latour :
</t>
        </r>
        <r>
          <rPr>
            <b/>
            <sz val="9"/>
            <color rgb="FF000000"/>
            <rFont val="Arial"/>
            <family val="2"/>
          </rPr>
          <t xml:space="preserve">7855 - Honoraires professionnels
</t>
        </r>
        <r>
          <rPr>
            <b/>
            <sz val="9"/>
            <color rgb="FF000000"/>
            <rFont val="Arial"/>
            <family val="2"/>
          </rPr>
          <t>Montant payé pour les services professionnels des comptables, avocats, notaires, ingénieurs, consultants, et, etc. Les honoraires encourus pour le recouvrement des mauvaises créances doivent être toutefois comptabilisés dans le compte 7845.</t>
        </r>
      </text>
    </comment>
    <comment ref="C24" authorId="0" shapeId="0" xr:uid="{C8929493-CB73-BB43-BCBF-FF29884F13FC}">
      <text>
        <r>
          <rPr>
            <b/>
            <sz val="9"/>
            <color rgb="FF000000"/>
            <rFont val="Arial"/>
            <family val="2"/>
          </rPr>
          <t xml:space="preserve">Christian Latour :
</t>
        </r>
        <r>
          <rPr>
            <b/>
            <sz val="9"/>
            <color rgb="FF000000"/>
            <rFont val="Arial"/>
            <family val="2"/>
          </rPr>
          <t xml:space="preserve">7860 - Services de protection/sécurité
</t>
        </r>
        <r>
          <rPr>
            <b/>
            <sz val="9"/>
            <color rgb="FF000000"/>
            <rFont val="Arial"/>
            <family val="2"/>
          </rPr>
          <t>Montant payé pour assurer la protection de l’établissement (garde de sécurité, système d’alarme contre le feu et le vol, collecte des dépôts par camion blindé, et, etc.).</t>
        </r>
      </text>
    </comment>
    <comment ref="C25" authorId="0" shapeId="0" xr:uid="{A21CB3EB-E417-FC4D-92D5-6320799386E5}">
      <text>
        <r>
          <rPr>
            <b/>
            <sz val="9"/>
            <color rgb="FF000000"/>
            <rFont val="Arial"/>
            <family val="2"/>
          </rPr>
          <t xml:space="preserve">Christian Latour :
</t>
        </r>
        <r>
          <rPr>
            <b/>
            <sz val="9"/>
            <color rgb="FF000000"/>
            <rFont val="Arial"/>
            <family val="2"/>
          </rPr>
          <t xml:space="preserve">7865 - Intérêts et frais bancaires
</t>
        </r>
        <r>
          <rPr>
            <b/>
            <sz val="9"/>
            <color rgb="FF000000"/>
            <rFont val="Arial"/>
            <family val="2"/>
          </rPr>
          <t>Montant payé pour les intérêts et autres services bancaires tels que la location d’un coffre à la banque, et, etc.</t>
        </r>
      </text>
    </comment>
    <comment ref="C26" authorId="0" shapeId="0" xr:uid="{B139906D-FC25-A149-8C4B-B15CDA184EE3}">
      <text>
        <r>
          <rPr>
            <b/>
            <sz val="9"/>
            <color indexed="81"/>
            <rFont val="Arial"/>
            <family val="2"/>
          </rPr>
          <t>Christian Latour :
7880 - Redevances/droits de franchise
Montant payé à un franchiseur en contrepartie des différents services offerts par celui-ci.</t>
        </r>
      </text>
    </comment>
    <comment ref="C27" authorId="0" shapeId="0" xr:uid="{EBDAA972-9240-4E40-8DAE-6FDF6F2B9510}">
      <text>
        <r>
          <rPr>
            <b/>
            <sz val="9"/>
            <color indexed="81"/>
            <rFont val="Arial"/>
            <family val="2"/>
          </rPr>
          <t>Christian Latour :
7899 - Autres
Autre montant payé afin d’assurer l’administration d’une entreprise de restauration alimentaire et qui ne peut pas être directement comptabilisé dans les comptes précédents.</t>
        </r>
      </text>
    </comment>
    <comment ref="C29" authorId="0" shapeId="0" xr:uid="{27F6E983-AE9F-E748-97A5-B298E327AA8A}">
      <text>
        <r>
          <rPr>
            <b/>
            <sz val="10"/>
            <color rgb="FF000000"/>
            <rFont val="Arial"/>
            <family val="2"/>
          </rPr>
          <t xml:space="preserve">
</t>
        </r>
        <r>
          <rPr>
            <b/>
            <sz val="10"/>
            <color rgb="FF000000"/>
            <rFont val="Arial"/>
            <family val="2"/>
          </rPr>
          <t xml:space="preserve">Christian Latour
</t>
        </r>
        <r>
          <rPr>
            <b/>
            <sz val="10"/>
            <color rgb="FF000000"/>
            <rFont val="Arial"/>
            <family val="2"/>
          </rPr>
          <t xml:space="preserve">7800 - Administration &amp; autres frais généraux
</t>
        </r>
        <r>
          <rPr>
            <b/>
            <sz val="10"/>
            <color rgb="FF000000"/>
            <rFont val="Arial"/>
            <family val="2"/>
          </rPr>
          <t>Il s’agit du compte de contrôle dans lequel on additionne le total des coûts d’administration &amp; autres frais généraux.</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52BD4F72-8E06-DB42-97D6-0D614D1ACF91}">
      <text>
        <r>
          <rPr>
            <b/>
            <sz val="9"/>
            <color rgb="FF000000"/>
            <rFont val="Arial"/>
            <family val="2"/>
          </rPr>
          <t xml:space="preserve">Christian Latour :
</t>
        </r>
        <r>
          <rPr>
            <b/>
            <sz val="9"/>
            <color rgb="FF000000"/>
            <rFont val="Arial"/>
            <family val="2"/>
          </rPr>
          <t xml:space="preserve">7902 — Ameublements et agencements
</t>
        </r>
        <r>
          <rPr>
            <b/>
            <sz val="9"/>
            <color rgb="FF000000"/>
            <rFont val="Arial"/>
            <family val="2"/>
          </rPr>
          <t>Montant payé pour assurer l’entretien et les réparations de l’ameublement.</t>
        </r>
      </text>
    </comment>
    <comment ref="C14" authorId="0" shapeId="0" xr:uid="{E8533336-3C9D-F648-B38B-8B122AAE9B61}">
      <text>
        <r>
          <rPr>
            <b/>
            <sz val="9"/>
            <color rgb="FF000000"/>
            <rFont val="Arial"/>
            <family val="2"/>
          </rPr>
          <t xml:space="preserve">Christian Latour :
</t>
        </r>
        <r>
          <rPr>
            <b/>
            <sz val="9"/>
            <color rgb="FF000000"/>
            <rFont val="Arial"/>
            <family val="2"/>
          </rPr>
          <t xml:space="preserve">7904 — Équipement de cuisine
</t>
        </r>
        <r>
          <rPr>
            <b/>
            <sz val="9"/>
            <color rgb="FF000000"/>
            <rFont val="Arial"/>
            <family val="2"/>
          </rPr>
          <t>Montant payé pour assurer l’entretien et les réparations des équipements de cuisine.</t>
        </r>
      </text>
    </comment>
    <comment ref="C15" authorId="0" shapeId="0" xr:uid="{FC14E292-6F7D-C345-80A5-85B32C575D35}">
      <text>
        <r>
          <rPr>
            <b/>
            <sz val="9"/>
            <color rgb="FF000000"/>
            <rFont val="Arial"/>
            <family val="2"/>
          </rPr>
          <t xml:space="preserve">Christian Latour :
</t>
        </r>
        <r>
          <rPr>
            <b/>
            <sz val="9"/>
            <color rgb="FF000000"/>
            <rFont val="Arial"/>
            <family val="2"/>
          </rPr>
          <t xml:space="preserve">7906 — Équipement de bureau
</t>
        </r>
        <r>
          <rPr>
            <b/>
            <sz val="9"/>
            <color rgb="FF000000"/>
            <rFont val="Arial"/>
            <family val="2"/>
          </rPr>
          <t>Montant payé pour assurer l’entretien et les réparations des équipements de bureau.</t>
        </r>
      </text>
    </comment>
    <comment ref="C16" authorId="0" shapeId="0" xr:uid="{B8157270-3D08-8845-840A-0DE3C93AD1F1}">
      <text>
        <r>
          <rPr>
            <b/>
            <sz val="9"/>
            <color rgb="FF000000"/>
            <rFont val="Arial"/>
            <family val="2"/>
          </rPr>
          <t xml:space="preserve">Christian Latour :
</t>
        </r>
        <r>
          <rPr>
            <b/>
            <sz val="9"/>
            <color rgb="FF000000"/>
            <rFont val="Arial"/>
            <family val="2"/>
          </rPr>
          <t xml:space="preserve">7908 — Réfrigération
</t>
        </r>
        <r>
          <rPr>
            <b/>
            <sz val="9"/>
            <color rgb="FF000000"/>
            <rFont val="Arial"/>
            <family val="2"/>
          </rPr>
          <t>Montant payé pour assurer l’entretien et les réparations des équipements de réfrigération.</t>
        </r>
      </text>
    </comment>
    <comment ref="C17" authorId="0" shapeId="0" xr:uid="{5CD839C1-3E17-3844-BBD9-AD951FCC368B}">
      <text>
        <r>
          <rPr>
            <b/>
            <sz val="9"/>
            <color rgb="FF000000"/>
            <rFont val="Arial"/>
            <family val="2"/>
          </rPr>
          <t xml:space="preserve">Christian Latour :
</t>
        </r>
        <r>
          <rPr>
            <b/>
            <sz val="9"/>
            <color rgb="FF000000"/>
            <rFont val="Arial"/>
            <family val="2"/>
          </rPr>
          <t xml:space="preserve">7910 — Air climatisé
</t>
        </r>
        <r>
          <rPr>
            <b/>
            <sz val="9"/>
            <color rgb="FF000000"/>
            <rFont val="Arial"/>
            <family val="2"/>
          </rPr>
          <t>Montant payé pour assurer l’entretien et les réparations des équipements de climatisation.</t>
        </r>
      </text>
    </comment>
    <comment ref="C18" authorId="0" shapeId="0" xr:uid="{6D482C17-9DB9-5847-B120-51B5ABD26629}">
      <text>
        <r>
          <rPr>
            <b/>
            <sz val="9"/>
            <color rgb="FF000000"/>
            <rFont val="Arial"/>
            <family val="2"/>
          </rPr>
          <t xml:space="preserve">Christian Latour :
</t>
        </r>
        <r>
          <rPr>
            <b/>
            <sz val="9"/>
            <color rgb="FF000000"/>
            <rFont val="Arial"/>
            <family val="2"/>
          </rPr>
          <t xml:space="preserve">7912 — Plomberie et chauffage
</t>
        </r>
        <r>
          <rPr>
            <b/>
            <sz val="9"/>
            <color rgb="FF000000"/>
            <rFont val="Arial"/>
            <family val="2"/>
          </rPr>
          <t>Montant payé pour assurer l’entretien et les réparations des installations de plomberie et de chauffage.</t>
        </r>
      </text>
    </comment>
    <comment ref="C19" authorId="0" shapeId="0" xr:uid="{5FAFBE42-4780-8548-ADC8-DF0C79646D96}">
      <text>
        <r>
          <rPr>
            <b/>
            <sz val="9"/>
            <color indexed="81"/>
            <rFont val="Arial"/>
            <family val="2"/>
          </rPr>
          <t>Christian Latour :
7914 — Électricité et mécanique
Montant payé pour assurer l’entretien et les réparations des systèmes électriques et mécaniques tels que les ascenseurs et les monte-charges, et, etc.</t>
        </r>
      </text>
    </comment>
    <comment ref="C20" authorId="0" shapeId="0" xr:uid="{0B293E38-0108-FC4E-BD3B-B61B700669AF}">
      <text>
        <r>
          <rPr>
            <b/>
            <sz val="9"/>
            <color rgb="FF000000"/>
            <rFont val="Arial"/>
            <family val="2"/>
          </rPr>
          <t xml:space="preserve">Christian Latour :
</t>
        </r>
        <r>
          <rPr>
            <b/>
            <sz val="9"/>
            <color rgb="FF000000"/>
            <rFont val="Arial"/>
            <family val="2"/>
          </rPr>
          <t xml:space="preserve">7916 — Plancher et tapis
</t>
        </r>
        <r>
          <rPr>
            <b/>
            <sz val="9"/>
            <color rgb="FF000000"/>
            <rFont val="Arial"/>
            <family val="2"/>
          </rPr>
          <t>Montant payé pour assurer l’entretien et les réparations des planchers et couvre-planchers.</t>
        </r>
      </text>
    </comment>
    <comment ref="C21" authorId="0" shapeId="0" xr:uid="{DB790416-533C-794C-94CF-2C3472EC18CB}">
      <text>
        <r>
          <rPr>
            <b/>
            <sz val="9"/>
            <color indexed="81"/>
            <rFont val="Arial"/>
            <family val="2"/>
          </rPr>
          <t xml:space="preserve">Christian Latour :
7918 — Immeuble/bâtiment
Montant payé pour assurer l’entretien et les réparations de l’immeuble.
</t>
        </r>
      </text>
    </comment>
    <comment ref="C22" authorId="0" shapeId="0" xr:uid="{2A39FFA4-9D7B-EE46-8D5E-7287E9CDB732}">
      <text>
        <r>
          <rPr>
            <b/>
            <sz val="9"/>
            <color indexed="81"/>
            <rFont val="Arial"/>
            <family val="2"/>
          </rPr>
          <t>Christian Latour :
7920 — Stationnement
Montant payé pour assurer l’entretien et les réparations des stationnements.</t>
        </r>
      </text>
    </comment>
    <comment ref="C23" authorId="0" shapeId="0" xr:uid="{1BE2F646-E015-694C-AB24-CF38F732EEB1}">
      <text>
        <r>
          <rPr>
            <b/>
            <sz val="9"/>
            <color rgb="FF000000"/>
            <rFont val="Arial"/>
            <family val="2"/>
          </rPr>
          <t xml:space="preserve">Christian Latour :
</t>
        </r>
        <r>
          <rPr>
            <b/>
            <sz val="9"/>
            <color rgb="FF000000"/>
            <rFont val="Arial"/>
            <family val="2"/>
          </rPr>
          <t xml:space="preserve">7922 — Terrassement et entretien des terrassements
</t>
        </r>
        <r>
          <rPr>
            <b/>
            <sz val="9"/>
            <color rgb="FF000000"/>
            <rFont val="Arial"/>
            <family val="2"/>
          </rPr>
          <t>Montant payé pour le terrassement et l’entretien des terrassements.</t>
        </r>
      </text>
    </comment>
    <comment ref="C24" authorId="0" shapeId="0" xr:uid="{84FA4E70-C414-324D-AE4A-10EF94BE4996}">
      <text>
        <r>
          <rPr>
            <b/>
            <sz val="9"/>
            <color indexed="81"/>
            <rFont val="Arial"/>
            <family val="2"/>
          </rPr>
          <t>Christian Latour :
7924 — Altération immobilière/bâtiment
Montant payé dans le but d’apporter des modifications au bâtiment par exemple l’ajout d’une rampe pour handicapés.</t>
        </r>
      </text>
    </comment>
    <comment ref="C25" authorId="0" shapeId="0" xr:uid="{463019C6-762C-8441-BEE6-0E661444D674}">
      <text>
        <r>
          <rPr>
            <b/>
            <sz val="9"/>
            <color rgb="FF000000"/>
            <rFont val="Arial"/>
            <family val="2"/>
          </rPr>
          <t xml:space="preserve">Christian Latour :
</t>
        </r>
        <r>
          <rPr>
            <b/>
            <sz val="9"/>
            <color rgb="FF000000"/>
            <rFont val="Arial"/>
            <family val="2"/>
          </rPr>
          <t xml:space="preserve">7928 — Peinture, recouvrement et décoration
</t>
        </r>
        <r>
          <rPr>
            <b/>
            <sz val="9"/>
            <color rgb="FF000000"/>
            <rFont val="Arial"/>
            <family val="2"/>
          </rPr>
          <t xml:space="preserve">Montant payé pour assurer l’entretien des murs et plafonds (peinture, plâtre, stuco, et, etc.).
</t>
        </r>
        <r>
          <rPr>
            <b/>
            <sz val="9"/>
            <color rgb="FF000000"/>
            <rFont val="Arial"/>
            <family val="2"/>
          </rPr>
          <t xml:space="preserve">
</t>
        </r>
      </text>
    </comment>
    <comment ref="C26" authorId="0" shapeId="0" xr:uid="{54DFA4DF-5E71-3640-8395-D4386B3EF808}">
      <text>
        <r>
          <rPr>
            <b/>
            <sz val="9"/>
            <color rgb="FF000000"/>
            <rFont val="Arial"/>
            <family val="2"/>
          </rPr>
          <t xml:space="preserve">Christian Latour :
</t>
        </r>
        <r>
          <rPr>
            <b/>
            <sz val="9"/>
            <color rgb="FF000000"/>
            <rFont val="Arial"/>
            <family val="2"/>
          </rPr>
          <t xml:space="preserve">7990 — Contrat de service d’entretien
</t>
        </r>
        <r>
          <rPr>
            <b/>
            <sz val="9"/>
            <color rgb="FF000000"/>
            <rFont val="Arial"/>
            <family val="2"/>
          </rPr>
          <t xml:space="preserve">Montant payé pour les contrats d’entretien des ascenseurs, enseignes lumineuses, autres équipements, et, etc.
</t>
        </r>
        <r>
          <rPr>
            <b/>
            <sz val="9"/>
            <color rgb="FF000000"/>
            <rFont val="Arial"/>
            <family val="2"/>
          </rPr>
          <t xml:space="preserve">
</t>
        </r>
      </text>
    </comment>
    <comment ref="C27" authorId="0" shapeId="0" xr:uid="{B6BB5509-EF7F-2445-9F42-C055EAFFD80F}">
      <text>
        <r>
          <rPr>
            <b/>
            <sz val="9"/>
            <color rgb="FF000000"/>
            <rFont val="Arial"/>
            <family val="2"/>
          </rPr>
          <t xml:space="preserve">Christian Latour :
</t>
        </r>
        <r>
          <rPr>
            <b/>
            <sz val="9"/>
            <color rgb="FF000000"/>
            <rFont val="Arial"/>
            <family val="2"/>
          </rPr>
          <t xml:space="preserve">7996 - Matériel roulant
</t>
        </r>
        <r>
          <rPr>
            <b/>
            <sz val="9"/>
            <color rgb="FF000000"/>
            <rFont val="Arial"/>
            <family val="2"/>
          </rPr>
          <t>Montant payé pour assurer l’entretien et les réparations des voitures, camions et autres engins roulants utilisés par l’entreprise.</t>
        </r>
      </text>
    </comment>
    <comment ref="C28" authorId="0" shapeId="0" xr:uid="{405C5DDC-783C-5E44-9C6C-000FD9BF9375}">
      <text>
        <r>
          <rPr>
            <b/>
            <sz val="9"/>
            <color rgb="FF000000"/>
            <rFont val="Arial"/>
            <family val="2"/>
          </rPr>
          <t xml:space="preserve">Christian Latour :
</t>
        </r>
        <r>
          <rPr>
            <b/>
            <sz val="9"/>
            <color rgb="FF000000"/>
            <rFont val="Arial"/>
            <family val="2"/>
          </rPr>
          <t xml:space="preserve">7998 — Équipements et fournitures
</t>
        </r>
        <r>
          <rPr>
            <b/>
            <sz val="9"/>
            <color rgb="FF000000"/>
            <rFont val="Arial"/>
            <family val="2"/>
          </rPr>
          <t>Montant payé notamment pour assurer l’entretien et les réparations des rideaux, draperies, tapisseries, et, etc.</t>
        </r>
      </text>
    </comment>
    <comment ref="C29" authorId="0" shapeId="0" xr:uid="{FEC1FFFF-0F52-AD48-B500-3A0F16BBC581}">
      <text>
        <r>
          <rPr>
            <b/>
            <sz val="9"/>
            <color rgb="FF000000"/>
            <rFont val="Arial"/>
            <family val="2"/>
          </rPr>
          <t xml:space="preserve">Christian Latour :
</t>
        </r>
        <r>
          <rPr>
            <b/>
            <sz val="9"/>
            <color rgb="FF000000"/>
            <rFont val="Arial"/>
            <family val="2"/>
          </rPr>
          <t xml:space="preserve">7999 — Autres
</t>
        </r>
        <r>
          <rPr>
            <b/>
            <sz val="9"/>
            <color rgb="FF000000"/>
            <rFont val="Arial"/>
            <family val="2"/>
          </rPr>
          <t>Autres montants payés pour l’entretien et les réparations et qui ne sont pas comptabilisés dans l’un des comptes précédents.</t>
        </r>
      </text>
    </comment>
    <comment ref="C31" authorId="0" shapeId="0" xr:uid="{F7E50AF9-2BE8-7D47-B656-F57584F71F3A}">
      <text>
        <r>
          <rPr>
            <b/>
            <sz val="10"/>
            <color rgb="FF000000"/>
            <rFont val="Arial"/>
            <family val="2"/>
          </rPr>
          <t xml:space="preserve">
</t>
        </r>
        <r>
          <rPr>
            <b/>
            <sz val="10"/>
            <color rgb="FF000000"/>
            <rFont val="Arial"/>
            <family val="2"/>
          </rPr>
          <t xml:space="preserve">Christian Latour
</t>
        </r>
        <r>
          <rPr>
            <b/>
            <sz val="10"/>
            <color rgb="FF000000"/>
            <rFont val="Arial"/>
            <family val="2"/>
          </rPr>
          <t xml:space="preserve">7900 — Entretien et réparations
</t>
        </r>
        <r>
          <rPr>
            <b/>
            <sz val="10"/>
            <color rgb="FF000000"/>
            <rFont val="Arial"/>
            <family val="2"/>
          </rPr>
          <t>Il s’agit du compte de contrôle dans lequel on additionne le total des coûts entretien et réparation.</t>
        </r>
      </text>
    </comment>
  </commentList>
</comments>
</file>

<file path=xl/sharedStrings.xml><?xml version="1.0" encoding="utf-8"?>
<sst xmlns="http://schemas.openxmlformats.org/spreadsheetml/2006/main" count="2675" uniqueCount="630">
  <si>
    <t>CADRAN NUMÉRO 1</t>
  </si>
  <si>
    <t>Lundi</t>
  </si>
  <si>
    <t xml:space="preserve"> </t>
  </si>
  <si>
    <t>6 h à 9 h 30</t>
  </si>
  <si>
    <t>9 h 30 à 11 h 30</t>
  </si>
  <si>
    <t>11 h 30 à 14 h 30</t>
  </si>
  <si>
    <t>14 h 30 à 17 h</t>
  </si>
  <si>
    <t>17 h à 19 h</t>
  </si>
  <si>
    <t>19 h à 23 h</t>
  </si>
  <si>
    <t>23 h à 6 h</t>
  </si>
  <si>
    <t>Total</t>
  </si>
  <si>
    <t>Mardi</t>
  </si>
  <si>
    <t>Mercredi</t>
  </si>
  <si>
    <t>Jeudi</t>
  </si>
  <si>
    <t>Vendredi</t>
  </si>
  <si>
    <t>Samedi</t>
  </si>
  <si>
    <t>Dimanche</t>
  </si>
  <si>
    <t>CADRAN NUMÉRO 2</t>
  </si>
  <si>
    <t>CADRAN NUMÉRO 3</t>
  </si>
  <si>
    <t>CADRAN NUMÉRO 4</t>
  </si>
  <si>
    <t>CADRAN NUMÉRO 5</t>
  </si>
  <si>
    <t>CADRAN NUMÉRO 6</t>
  </si>
  <si>
    <t>(A) / Mois</t>
  </si>
  <si>
    <t>(A)  / année</t>
  </si>
  <si>
    <t>Total contrôle</t>
  </si>
  <si>
    <t>Pér.04</t>
  </si>
  <si>
    <t>NB de place</t>
  </si>
  <si>
    <t>NB de jour</t>
  </si>
  <si>
    <t>NB de jour / mois</t>
  </si>
  <si>
    <t>NB de jour / Exploitation</t>
  </si>
  <si>
    <t>Année</t>
  </si>
  <si>
    <t>Pér.01</t>
    <phoneticPr fontId="0" type="noConversion"/>
  </si>
  <si>
    <t>Pér.02</t>
    <phoneticPr fontId="0" type="noConversion"/>
  </si>
  <si>
    <t>Pér.03</t>
    <phoneticPr fontId="0" type="noConversion"/>
  </si>
  <si>
    <t>Pér.05</t>
    <phoneticPr fontId="0" type="noConversion"/>
  </si>
  <si>
    <t>Pér.06</t>
    <phoneticPr fontId="0" type="noConversion"/>
  </si>
  <si>
    <t>Pér.07</t>
    <phoneticPr fontId="0" type="noConversion"/>
  </si>
  <si>
    <t>Pér.08</t>
    <phoneticPr fontId="0" type="noConversion"/>
  </si>
  <si>
    <t>Pér.09</t>
    <phoneticPr fontId="0" type="noConversion"/>
  </si>
  <si>
    <t>Pér.10</t>
    <phoneticPr fontId="0" type="noConversion"/>
  </si>
  <si>
    <t>Pér.11</t>
    <phoneticPr fontId="0" type="noConversion"/>
  </si>
  <si>
    <t>Pér.12</t>
    <phoneticPr fontId="0" type="noConversion"/>
  </si>
  <si>
    <t>[</t>
  </si>
  <si>
    <t>]</t>
  </si>
  <si>
    <t>=</t>
  </si>
  <si>
    <t>x</t>
  </si>
  <si>
    <t>(</t>
  </si>
  <si>
    <t>Um/A</t>
  </si>
  <si>
    <t>PmO</t>
  </si>
  <si>
    <t>)</t>
  </si>
  <si>
    <t>A</t>
  </si>
  <si>
    <t>Achalandage  Mois et Année</t>
  </si>
  <si>
    <t>Courbe de vente</t>
  </si>
  <si>
    <t>NB de client par place par jour</t>
  </si>
  <si>
    <t>Taux d'occupation en %</t>
  </si>
  <si>
    <t>Janvier 2021</t>
  </si>
  <si>
    <t>Février 2021</t>
  </si>
  <si>
    <t>Mars 2021</t>
  </si>
  <si>
    <t>Avril 2021</t>
  </si>
  <si>
    <t>Mai 2021</t>
  </si>
  <si>
    <t>Juin 2021</t>
  </si>
  <si>
    <t>Juillet 2021</t>
  </si>
  <si>
    <t>Août 2021</t>
  </si>
  <si>
    <t>Septembre 2021</t>
  </si>
  <si>
    <t>Octobre 2021</t>
  </si>
  <si>
    <t>Novembre 2021</t>
  </si>
  <si>
    <t>Décembre 2021</t>
  </si>
  <si>
    <t>1 fev 2021</t>
  </si>
  <si>
    <t>28 fev 2021</t>
  </si>
  <si>
    <t>2 fev 2021</t>
  </si>
  <si>
    <t>3 fev 2021</t>
  </si>
  <si>
    <t>4 fev 2021</t>
  </si>
  <si>
    <t>5 fev 2021</t>
  </si>
  <si>
    <t>6 fev 2021</t>
  </si>
  <si>
    <t>7 fev 2021</t>
  </si>
  <si>
    <t>8 fev 2021</t>
  </si>
  <si>
    <t>9 fev 2021</t>
  </si>
  <si>
    <t>10 fev 2021</t>
  </si>
  <si>
    <t>11 fev 2021</t>
  </si>
  <si>
    <t>12 fev 2021</t>
  </si>
  <si>
    <t>13 fev 2021</t>
  </si>
  <si>
    <t>14 fev 2021</t>
  </si>
  <si>
    <t>15 fev 2021</t>
  </si>
  <si>
    <t>16 fev 2021</t>
  </si>
  <si>
    <t>17 fev 2021</t>
  </si>
  <si>
    <t>18 fev 2021</t>
  </si>
  <si>
    <t>19 fev 2021</t>
  </si>
  <si>
    <t>20 fev 2021</t>
  </si>
  <si>
    <t>21 fev 2021</t>
  </si>
  <si>
    <t>22 fev 2021</t>
  </si>
  <si>
    <t>23 fev 2021</t>
  </si>
  <si>
    <t>24 fev 2021</t>
  </si>
  <si>
    <t>25 fev 2021</t>
  </si>
  <si>
    <t>26 fev 2021</t>
  </si>
  <si>
    <t>27 fev 2021</t>
  </si>
  <si>
    <t>1 dec 2021</t>
  </si>
  <si>
    <t>2 dec 2021</t>
  </si>
  <si>
    <t>3 dec 2021</t>
  </si>
  <si>
    <t>4 dec 2021</t>
  </si>
  <si>
    <t>5 dec 2021</t>
  </si>
  <si>
    <t>6 dec 2021</t>
  </si>
  <si>
    <t>7 dec 2021</t>
  </si>
  <si>
    <t>8 dec 2021</t>
  </si>
  <si>
    <t>9 dec 2021</t>
  </si>
  <si>
    <t>10 dec 2021</t>
  </si>
  <si>
    <t>11 dec 2021</t>
  </si>
  <si>
    <t>12 dec 2021</t>
  </si>
  <si>
    <t>13 dec 2021</t>
  </si>
  <si>
    <t>14 dec 2021</t>
  </si>
  <si>
    <t>15 dec 2021</t>
  </si>
  <si>
    <t>16 dec 2021</t>
  </si>
  <si>
    <t>17 dec 2021</t>
  </si>
  <si>
    <t>18 dec 2021</t>
  </si>
  <si>
    <t>19 dec 2021</t>
  </si>
  <si>
    <t>20 dec 2021</t>
  </si>
  <si>
    <t>21 dec 2021</t>
  </si>
  <si>
    <t>22 dec 2021</t>
  </si>
  <si>
    <t>23 dec 2021</t>
  </si>
  <si>
    <t>24 dec 2021</t>
  </si>
  <si>
    <t>25 dec 2021</t>
  </si>
  <si>
    <t>26 dec 2021</t>
  </si>
  <si>
    <t>27 dec 2021</t>
  </si>
  <si>
    <t>28 dec 2021</t>
  </si>
  <si>
    <t>29 dec 2021</t>
  </si>
  <si>
    <t>30 dec 2021</t>
  </si>
  <si>
    <t>31 dec 2021</t>
  </si>
  <si>
    <t xml:space="preserve">  </t>
  </si>
  <si>
    <t>Dm/A = la demande moyenne par acheteur [la demande moyenne par acheteur (Dm/A) est souvent nommée par les différends utilisateurs, la facture moyenne par client (Fm/C)]</t>
  </si>
  <si>
    <t>PmO = le prix moyen des produits offerts sur la carte de l’entreprise durant cette période</t>
  </si>
  <si>
    <t>Um/A = le nombre moyen d’unités de produits achetés par les acheteurs durant cette période </t>
  </si>
  <si>
    <t>A = le nombre d’acheteurs durant cette période (l’achalandage) </t>
  </si>
  <si>
    <t>D = la demande totale des acheteurs pour une période donnée, ce qui correspond aux revenus d’une entreprise de restauration alimentaire pour une période donnée</t>
  </si>
  <si>
    <t>Dm/A</t>
  </si>
  <si>
    <t>D</t>
  </si>
  <si>
    <t>Nb de places</t>
  </si>
  <si>
    <t>Rev. / place / jour</t>
  </si>
  <si>
    <t>365 jours</t>
  </si>
  <si>
    <t>Revenus annuels par place</t>
  </si>
  <si>
    <t>(%)</t>
  </si>
  <si>
    <t>Revenus</t>
  </si>
  <si>
    <t>Janvier</t>
  </si>
  <si>
    <t xml:space="preserve"> </t>
    <phoneticPr fontId="0" type="noConversion"/>
  </si>
  <si>
    <t>Février</t>
  </si>
  <si>
    <t>Mars</t>
  </si>
  <si>
    <t>Avril</t>
  </si>
  <si>
    <t xml:space="preserve">   Total des revenus</t>
  </si>
  <si>
    <t>Mai</t>
  </si>
  <si>
    <t>Juin</t>
  </si>
  <si>
    <t>Juillet</t>
  </si>
  <si>
    <t>Août</t>
  </si>
  <si>
    <t xml:space="preserve">Coût de la main-d’œuvre </t>
  </si>
  <si>
    <t>Septembre</t>
  </si>
  <si>
    <t>Octobre</t>
  </si>
  <si>
    <t xml:space="preserve">Novembre </t>
  </si>
  <si>
    <t xml:space="preserve">   Total des coûts de la main-d’œuvre</t>
  </si>
  <si>
    <t>Décembre</t>
  </si>
  <si>
    <t xml:space="preserve">   « Prime Cost »</t>
  </si>
  <si>
    <t>Moyenne</t>
  </si>
  <si>
    <t xml:space="preserve">   Marge bénéficiaire brute</t>
  </si>
  <si>
    <t xml:space="preserve">   Bénéfices nets avant frais financiers, amort. et impôt </t>
  </si>
  <si>
    <t xml:space="preserve">BÉNÉFICE NET AVANT IMPÔT </t>
    <phoneticPr fontId="0" type="noConversion"/>
  </si>
  <si>
    <t xml:space="preserve">BÉNÉFICE NET </t>
  </si>
  <si>
    <t>Taux d'imposition</t>
  </si>
  <si>
    <t>Demande mensuelle</t>
  </si>
  <si>
    <t>Achalandage annuelle</t>
  </si>
  <si>
    <t>Achalandage mensuel</t>
  </si>
  <si>
    <t>En utilisant la formule de base on comprend que : D ÷ A = (Um/A x PmO) et D ÷ A = Dm/A</t>
  </si>
  <si>
    <t>Boissons</t>
  </si>
  <si>
    <t>Nourritures</t>
  </si>
  <si>
    <t>Produits et services complémentaires</t>
  </si>
  <si>
    <t>Coût / place / jour</t>
  </si>
  <si>
    <t xml:space="preserve"> . Coût de la nourritures utilisées « Food Cost »</t>
  </si>
  <si>
    <t xml:space="preserve"> . Coût de la boissons utilisées « Beverage Cost »</t>
  </si>
  <si>
    <t xml:space="preserve">   Total des coûts d’exploitation</t>
  </si>
  <si>
    <t xml:space="preserve"> Nourriture</t>
  </si>
  <si>
    <t xml:space="preserve"> Boisson</t>
  </si>
  <si>
    <t xml:space="preserve"> Autres revenus</t>
  </si>
  <si>
    <t xml:space="preserve"> Coût d’occupation </t>
  </si>
  <si>
    <t xml:space="preserve"> Coût direct d’exploitation </t>
  </si>
  <si>
    <t xml:space="preserve"> Musique &amp; Divertissement </t>
  </si>
  <si>
    <t xml:space="preserve"> Marketing &amp; Communication marketing</t>
  </si>
  <si>
    <t xml:space="preserve"> Services publics </t>
  </si>
  <si>
    <t xml:space="preserve"> Administration &amp; Frais généraux </t>
  </si>
  <si>
    <t xml:space="preserve"> Entretien &amp; Réparations </t>
  </si>
  <si>
    <t xml:space="preserve"> Frais financiers</t>
  </si>
  <si>
    <t xml:space="preserve"> Amortissement</t>
  </si>
  <si>
    <t xml:space="preserve"> Impôts </t>
  </si>
  <si>
    <t xml:space="preserve"> Total des salaires</t>
  </si>
  <si>
    <t xml:space="preserve"> Total des bénéfices aux employées</t>
  </si>
  <si>
    <t>Coût des produits vendus</t>
  </si>
  <si>
    <t>Coût des ressources nourritures et boissons utilisées</t>
  </si>
  <si>
    <t>Revenus - Coût des produits vendus</t>
  </si>
  <si>
    <t>Coût des produits vendus par place</t>
  </si>
  <si>
    <t>T</t>
  </si>
  <si>
    <t>Coût de la main d'oeuvre par place</t>
  </si>
  <si>
    <t>Coût de la main d'œuvre par place</t>
  </si>
  <si>
    <t>Salaires</t>
  </si>
  <si>
    <t>Salaires "Management"</t>
  </si>
  <si>
    <t>Salaire "Production"</t>
  </si>
  <si>
    <t>Salaire "Vente et service"</t>
  </si>
  <si>
    <t>Salaire "Approvisionnement"</t>
  </si>
  <si>
    <t>Salaire "Finance &amp; Comptabilité"</t>
  </si>
  <si>
    <t>Salaire "Marketing &amp; Communication"</t>
  </si>
  <si>
    <t>Salaire "Théâtralisation"</t>
  </si>
  <si>
    <t>Salaire "R&amp;D"</t>
  </si>
  <si>
    <t>Salaire "Autres"</t>
  </si>
  <si>
    <t>Total des salaires</t>
  </si>
  <si>
    <t>Bénéfices aux employés</t>
  </si>
  <si>
    <t>Bénéfices gouvernementaux</t>
  </si>
  <si>
    <t>Assurance groupe</t>
  </si>
  <si>
    <t>Plan de pension</t>
  </si>
  <si>
    <t>CSST et CNT</t>
  </si>
  <si>
    <t>Formation</t>
  </si>
  <si>
    <t>Bien-être des employés</t>
  </si>
  <si>
    <t>6270 à 6295</t>
  </si>
  <si>
    <t>Autres</t>
  </si>
  <si>
    <t>Total des bénéfices aux employés</t>
  </si>
  <si>
    <t>Total des salaires Management</t>
  </si>
  <si>
    <t>Total des salaires Production</t>
  </si>
  <si>
    <t>Total des salaires Vente &amp; Service</t>
  </si>
  <si>
    <t>Total des salaires Approvisionnement</t>
  </si>
  <si>
    <t>Total des salaires Finance &amp; Comptabilité</t>
  </si>
  <si>
    <t>Total des salaires Marketing &amp; Communication</t>
  </si>
  <si>
    <t>Total des salaires Théâtralisation</t>
  </si>
  <si>
    <t>Total des salaires R&amp;D</t>
  </si>
  <si>
    <t>Total des salaires Autres</t>
  </si>
  <si>
    <t xml:space="preserve">Crédit d'impôt pourboires </t>
  </si>
  <si>
    <t xml:space="preserve">Repas aux employés </t>
  </si>
  <si>
    <t>Total des bénéfices gouvernementaux + (CSST et CNT)</t>
  </si>
  <si>
    <t xml:space="preserve">Total des bénéfices aux employés </t>
  </si>
  <si>
    <t>Coût annuel</t>
  </si>
  <si>
    <t>Total des salaires et bénéfices gouvernementaux</t>
  </si>
  <si>
    <t>CmO</t>
  </si>
  <si>
    <t xml:space="preserve">C </t>
  </si>
  <si>
    <t xml:space="preserve">B </t>
  </si>
  <si>
    <t>Bénéfice annuel</t>
  </si>
  <si>
    <t>BmO</t>
  </si>
  <si>
    <t>Coûts</t>
  </si>
  <si>
    <t>Bénéfices</t>
  </si>
  <si>
    <t>Cm/A</t>
  </si>
  <si>
    <t>Bm/A</t>
  </si>
  <si>
    <t>Coût mensuel</t>
  </si>
  <si>
    <t>Bénéfice mensuel</t>
  </si>
  <si>
    <t>Avantages sociaux (employés avec pourboires) :</t>
  </si>
  <si>
    <t>Avantages sociaux (employés sans pourboires) :</t>
  </si>
  <si>
    <t>Coût d’occupation</t>
  </si>
  <si>
    <t>Loyer — minimum et fixe</t>
  </si>
  <si>
    <t>Loyer — variable (%)</t>
  </si>
  <si>
    <t>Location — terrain</t>
  </si>
  <si>
    <t>Location d’équipement</t>
  </si>
  <si>
    <t>Taxes foncières</t>
  </si>
  <si>
    <t>Taxes d’usage de la propriété (eau, ordures)</t>
  </si>
  <si>
    <t>Autres taxes municipales (surtaxes non résidentielles)</t>
  </si>
  <si>
    <t>Redevance ou droit d’occupation</t>
  </si>
  <si>
    <t>Contribution pour la gestion d’une copropriété</t>
  </si>
  <si>
    <t>Association ou frais d’adhésion</t>
  </si>
  <si>
    <t>Assurances — bâtiments et contenus</t>
  </si>
  <si>
    <t>Autres coûts d’occupation</t>
  </si>
  <si>
    <t>Total des coûts d’occupation</t>
  </si>
  <si>
    <t>Coût d'occupation par place</t>
  </si>
  <si>
    <t>Coût direct d’exploitation annuel par place</t>
  </si>
  <si>
    <t>Coût direct d’exploitation</t>
  </si>
  <si>
    <t xml:space="preserve">Uniformes </t>
  </si>
  <si>
    <t xml:space="preserve">Buanderie et nettoyage à sec </t>
  </si>
  <si>
    <t>Location — Lingeries/tissus</t>
  </si>
  <si>
    <t xml:space="preserve">Achat — Lingeries/tissus </t>
  </si>
  <si>
    <t xml:space="preserve">Accessoires de tables </t>
  </si>
  <si>
    <t xml:space="preserve">Accessoires de service </t>
  </si>
  <si>
    <t xml:space="preserve">Accessoires de cuisine </t>
  </si>
  <si>
    <t>Dépenses — véhicules (livraison)</t>
  </si>
  <si>
    <t xml:space="preserve">Fournitures d’entretien </t>
  </si>
  <si>
    <t>Fournitures de papiers + Take Out</t>
  </si>
  <si>
    <t xml:space="preserve">Fournitures pour les invités/clients </t>
  </si>
  <si>
    <t xml:space="preserve">Fournitures de bar </t>
  </si>
  <si>
    <t xml:space="preserve">Menus et cartes </t>
  </si>
  <si>
    <t xml:space="preserve">Contrat d’entretien/nettoyage ménager </t>
  </si>
  <si>
    <t xml:space="preserve">Services hygiène et salubrité </t>
  </si>
  <si>
    <t xml:space="preserve">Décorations intérieures </t>
  </si>
  <si>
    <t>Stationnement — véhicules des clients</t>
  </si>
  <si>
    <t xml:space="preserve">Droits (permis) d’exploitations </t>
  </si>
  <si>
    <t>Frais de banquet</t>
  </si>
  <si>
    <t>Autres dépenses d’exploitation</t>
  </si>
  <si>
    <t>Total des coûts directs d’exploitation</t>
  </si>
  <si>
    <t>Coût musique &amp; divertissement annuel par place</t>
  </si>
  <si>
    <t>Janvier 2017</t>
  </si>
  <si>
    <t>Février 2017</t>
  </si>
  <si>
    <t>Mars 2017</t>
  </si>
  <si>
    <t>Avril 2017</t>
  </si>
  <si>
    <t>Mai 2017</t>
  </si>
  <si>
    <t>Juin 2017</t>
  </si>
  <si>
    <t>Juillet 2017</t>
  </si>
  <si>
    <t>Août 2017</t>
  </si>
  <si>
    <t>Septembre 2017</t>
  </si>
  <si>
    <t>Octobre 2017</t>
  </si>
  <si>
    <t>Novembre 2017</t>
  </si>
  <si>
    <t>Décembre 2017</t>
  </si>
  <si>
    <t>Année 2017</t>
  </si>
  <si>
    <t>Musique &amp; Divertissement</t>
  </si>
  <si>
    <t>Musiciens et animateur</t>
  </si>
  <si>
    <t>Divertisseurs professionnel</t>
  </si>
  <si>
    <t>Service de musique câblée</t>
  </si>
  <si>
    <t>Location de piano et réglage (tuning)</t>
    <phoneticPr fontId="0" type="noConversion"/>
  </si>
  <si>
    <t>Soutien matériel aux musiciens</t>
  </si>
  <si>
    <t>Redevances à la SOCAN</t>
    <phoneticPr fontId="0" type="noConversion"/>
  </si>
  <si>
    <t>Frais d’agent d’artiste</t>
  </si>
  <si>
    <t>Repas des musiciens et des animateurs</t>
  </si>
  <si>
    <t>Autres coûts associés à Musique &amp; Divertissement</t>
  </si>
  <si>
    <t>Total des coûts de musique &amp; divertissement</t>
  </si>
  <si>
    <t>Marketing &amp; Communication marketing</t>
  </si>
  <si>
    <t>Recherche Marketing</t>
  </si>
  <si>
    <t>Recherche &amp; Développement de nouveaux produits</t>
  </si>
  <si>
    <t>Publicités</t>
  </si>
  <si>
    <t>Relations publiques</t>
  </si>
  <si>
    <t>Ventes directes</t>
  </si>
  <si>
    <t>Promotion</t>
  </si>
  <si>
    <t>Marketing direct</t>
  </si>
  <si>
    <t>Commandite</t>
  </si>
  <si>
    <t>Placement de produit</t>
  </si>
  <si>
    <t>Communication événementielle</t>
  </si>
  <si>
    <t>Autres coûts</t>
  </si>
  <si>
    <t>Total des coûts Marketing &amp; Communication marketing</t>
  </si>
  <si>
    <t>Coût annuel (Marketing &amp; Communication marketing) par place</t>
  </si>
  <si>
    <t>Services publics</t>
  </si>
  <si>
    <t xml:space="preserve">Électricité </t>
  </si>
  <si>
    <t xml:space="preserve">Accessoires électriques </t>
  </si>
  <si>
    <t xml:space="preserve">Eau et glace </t>
  </si>
  <si>
    <t>Enlèvement des ordures</t>
  </si>
  <si>
    <t xml:space="preserve">Autres énergies </t>
  </si>
  <si>
    <t xml:space="preserve">Fournitures de mécanique et d’électricité </t>
  </si>
  <si>
    <t xml:space="preserve">Revenus de recyclage </t>
  </si>
  <si>
    <t xml:space="preserve">Reventes de services utilitaires </t>
  </si>
  <si>
    <t>Autres coûts associés aux services publics</t>
  </si>
  <si>
    <t>Total des coûts de services publics</t>
  </si>
  <si>
    <t>Coût des services public</t>
  </si>
  <si>
    <t>Coût annuel par place</t>
  </si>
  <si>
    <t>Coût Administration &amp; Frais généraux</t>
  </si>
  <si>
    <t>Fournitures de bureau</t>
  </si>
  <si>
    <t xml:space="preserve">Traitement de données </t>
  </si>
  <si>
    <t>Poste et messagerie</t>
  </si>
  <si>
    <t>Télécommunications</t>
  </si>
  <si>
    <t>Déplacements (gérant et staff)</t>
  </si>
  <si>
    <t>Assurances générales</t>
  </si>
  <si>
    <t>Frais d’escomptes sur carte de crédit</t>
  </si>
  <si>
    <t>Provision pour mauvaises créances</t>
  </si>
  <si>
    <t>Court et surplus de caisse</t>
  </si>
  <si>
    <t>Honoraires professionnels</t>
  </si>
  <si>
    <t>Service de protection/sécurité</t>
  </si>
  <si>
    <t>Intérêts et frais bancaires</t>
  </si>
  <si>
    <t>Redevances/droits de franchises</t>
  </si>
  <si>
    <t>Total des coûts Administration &amp; Frais généraux</t>
  </si>
  <si>
    <t>Coût d’entretien et réparations</t>
  </si>
  <si>
    <t>Ameublement et agencement</t>
  </si>
  <si>
    <t>Équipement de cuisine</t>
  </si>
  <si>
    <t>Équipement de bureau</t>
  </si>
  <si>
    <t>Réfrigération</t>
  </si>
  <si>
    <t>Air conditionné</t>
  </si>
  <si>
    <t>Plomberie et chauffage</t>
  </si>
  <si>
    <t>Électricité et mécanique</t>
  </si>
  <si>
    <t>Plancher et tapis</t>
  </si>
  <si>
    <t>Immeubles/Bâtisses</t>
  </si>
  <si>
    <t>Stationnement</t>
  </si>
  <si>
    <t>Terrassements et entretien paysager</t>
  </si>
  <si>
    <t>Altération Immobilière / Bâtisse</t>
  </si>
  <si>
    <t>Peinture, recouvrement et décorations</t>
  </si>
  <si>
    <t>Matériel roulant (auto et camions)</t>
  </si>
  <si>
    <t>Équipements et fournitures</t>
  </si>
  <si>
    <t xml:space="preserve">Autres </t>
  </si>
  <si>
    <t>Total des coûts d’entretien et réparations</t>
  </si>
  <si>
    <t xml:space="preserve">Contrat de services d’entretien </t>
  </si>
  <si>
    <t>Frais financier</t>
  </si>
  <si>
    <t>Total des frais financier</t>
  </si>
  <si>
    <t>Amortissement</t>
  </si>
  <si>
    <t>Amortissement numéro 1</t>
  </si>
  <si>
    <t>Total des frais d'amortissement</t>
  </si>
  <si>
    <t>Résultats</t>
  </si>
  <si>
    <t>ACTIF</t>
  </si>
  <si>
    <t>Actif courant</t>
  </si>
  <si>
    <t xml:space="preserve"> Clients et autres débiteurs</t>
  </si>
  <si>
    <t xml:space="preserve"> Stocks</t>
  </si>
  <si>
    <t xml:space="preserve"> Autres actifs courants</t>
  </si>
  <si>
    <t>Total des actifs courants</t>
  </si>
  <si>
    <t>Actif non courant</t>
  </si>
  <si>
    <t xml:space="preserve"> Placements</t>
  </si>
  <si>
    <t xml:space="preserve"> Achalandage (Goodwill)</t>
  </si>
  <si>
    <t>Total des actifs non courant</t>
  </si>
  <si>
    <t>PASSIF</t>
  </si>
  <si>
    <t xml:space="preserve"> Découverts bancaires</t>
  </si>
  <si>
    <t xml:space="preserve"> Emprunts bancaires</t>
  </si>
  <si>
    <t xml:space="preserve"> Produits différés</t>
  </si>
  <si>
    <t xml:space="preserve"> Provisions pour risques et charges</t>
  </si>
  <si>
    <t xml:space="preserve"> Partie courante de la dette</t>
  </si>
  <si>
    <t>Total des passifs courants</t>
  </si>
  <si>
    <t>Passif non courant</t>
  </si>
  <si>
    <t xml:space="preserve"> Emprunts obligataires</t>
  </si>
  <si>
    <t xml:space="preserve"> Obligations découlant de contrats de location-financement</t>
  </si>
  <si>
    <t xml:space="preserve"> Impôts différés</t>
  </si>
  <si>
    <t>CAPITAUX PROPRES</t>
  </si>
  <si>
    <t xml:space="preserve"> Capital actions</t>
  </si>
  <si>
    <t xml:space="preserve"> Résultats non distribués</t>
  </si>
  <si>
    <t xml:space="preserve"> Cumul des autres éléments du résultat global</t>
  </si>
  <si>
    <t>Total des capitaux propres</t>
  </si>
  <si>
    <t>TOTAL DES PASSIFS ET DES CAPITAUX PROPRES</t>
  </si>
  <si>
    <t>Bilan au 31 décembre 2021</t>
  </si>
  <si>
    <t>Bilan au 1er décembre 2021</t>
  </si>
  <si>
    <t>Total des actifs par place</t>
  </si>
  <si>
    <t xml:space="preserve"> Fournisseurs et autres créditeurs </t>
  </si>
  <si>
    <t xml:space="preserve"> Emprunts hypothécaires </t>
  </si>
  <si>
    <t xml:space="preserve"> Trésorerie et équivalent de trésorerie</t>
  </si>
  <si>
    <t>Passif courant</t>
  </si>
  <si>
    <t xml:space="preserve"> Immobilisations incorporelles</t>
  </si>
  <si>
    <t xml:space="preserve"> Immobilisations corporelles </t>
  </si>
  <si>
    <t>TOTAL DES ACTIFS</t>
  </si>
  <si>
    <t>Total des passifs non courant</t>
  </si>
  <si>
    <t>TOTAL DES PASSIFS</t>
  </si>
  <si>
    <t xml:space="preserve"> Participation ne donnant pas le contrôle</t>
  </si>
  <si>
    <t xml:space="preserve"> Surplus d’apports</t>
  </si>
  <si>
    <t>Actif / Place</t>
  </si>
  <si>
    <t>Amortissement - Immobilisation incorporelles</t>
  </si>
  <si>
    <t xml:space="preserve">Amortissement - Immobilisations corporelles </t>
  </si>
  <si>
    <t>Amortissement - Achalandage (Goodwill)</t>
  </si>
  <si>
    <t>TABLEAU DES FLUX DE TRÉSORERIE</t>
  </si>
  <si>
    <t>Total des frais financiers et amortissement</t>
  </si>
  <si>
    <t>ACTIVITÉS OPÉRATIONNELLES</t>
  </si>
  <si>
    <t>Résultat net de la période</t>
  </si>
  <si>
    <t>+</t>
  </si>
  <si>
    <t>Variation nette de la trésorerie des éléments liés aux résultats d’exploitation</t>
  </si>
  <si>
    <t>Début</t>
  </si>
  <si>
    <t>Fin</t>
  </si>
  <si>
    <t>Variation</t>
  </si>
  <si>
    <t>-</t>
  </si>
  <si>
    <t>Variation nette des éléments du fonds de roulement hors trésorerie liés aux activités opérationnelles</t>
  </si>
  <si>
    <t>Flux de trésorerie générés par les activités opérationnelles</t>
  </si>
  <si>
    <t>ACTIVITÉS DE FINANCEMENT</t>
  </si>
  <si>
    <t>Flux de trésorerie générés par les activités de financement</t>
  </si>
  <si>
    <t>ACTIVITÉS D’INVESTISSEMENT</t>
  </si>
  <si>
    <t>Amort. Acc.</t>
  </si>
  <si>
    <t>Flux de trésorerie générés par les activités d’investissement</t>
  </si>
  <si>
    <t>Hébergement</t>
  </si>
  <si>
    <t>Augmentation (diminution) de la trésorerie durant l'exercice financier</t>
  </si>
  <si>
    <t>Tésorerie et équivalent de trésorerie au début de l'exercice financier</t>
  </si>
  <si>
    <t>Tésorerie et équivalent de trésorerie à la fin de l'exercice financier</t>
  </si>
  <si>
    <t>Trésorerie et équivalent de trésorerie à la fin de l'exercice (la preuve)</t>
  </si>
  <si>
    <t xml:space="preserve"> Rentabilité générale</t>
  </si>
  <si>
    <t>Seuil de rentabilité</t>
  </si>
  <si>
    <r>
      <t xml:space="preserve">Coûts fixes </t>
    </r>
    <r>
      <rPr>
        <b/>
        <sz val="16"/>
        <rFont val="Arial"/>
        <family val="2"/>
      </rPr>
      <t>÷</t>
    </r>
    <r>
      <rPr>
        <b/>
        <sz val="20"/>
        <rFont val="Arial"/>
        <family val="2"/>
      </rPr>
      <t xml:space="preserve"> [</t>
    </r>
    <r>
      <rPr>
        <b/>
        <sz val="10"/>
        <rFont val="Arial"/>
        <family val="2"/>
        <charset val="204"/>
      </rPr>
      <t xml:space="preserve">1 — (Coûts variables </t>
    </r>
    <r>
      <rPr>
        <b/>
        <sz val="16"/>
        <rFont val="Arial"/>
        <family val="2"/>
      </rPr>
      <t>÷</t>
    </r>
    <r>
      <rPr>
        <b/>
        <sz val="10"/>
        <rFont val="Arial"/>
        <family val="2"/>
        <charset val="204"/>
      </rPr>
      <t xml:space="preserve"> Ventes)</t>
    </r>
    <r>
      <rPr>
        <b/>
        <sz val="20"/>
        <rFont val="Arial"/>
        <family val="2"/>
      </rPr>
      <t>]</t>
    </r>
  </si>
  <si>
    <t>Indique le niveau de vente nécessaire pour atteindre le seuil de rentabilité.</t>
  </si>
  <si>
    <t>Élevé — Le risque de ne pas y arriver est grand!</t>
  </si>
  <si>
    <t>Faible — Le risque est plus faible!</t>
  </si>
  <si>
    <t>DOMAINE</t>
  </si>
  <si>
    <t>RATIO</t>
  </si>
  <si>
    <t>FORMULE</t>
  </si>
  <si>
    <t>CALCUL</t>
  </si>
  <si>
    <t>OBJET</t>
  </si>
  <si>
    <t>CONCLUSION / MESURES À PRENDRE</t>
  </si>
  <si>
    <t>Rentabilité générale</t>
  </si>
  <si>
    <t>Rendement de l’investissement 
du propriétaire</t>
  </si>
  <si>
    <r>
      <t xml:space="preserve">(Bénéfice net avant impôt </t>
    </r>
    <r>
      <rPr>
        <b/>
        <sz val="16"/>
        <rFont val="Arial"/>
        <family val="2"/>
      </rPr>
      <t>÷</t>
    </r>
    <r>
      <rPr>
        <b/>
        <sz val="10"/>
        <rFont val="Arial"/>
        <family val="2"/>
        <charset val="204"/>
      </rPr>
      <t xml:space="preserve"> Capitaux propres ) X 100</t>
    </r>
  </si>
  <si>
    <t>Indique si l’investissement du propriétaire est adéquat et rentable</t>
  </si>
  <si>
    <t>Élevé — Félicitations!
Faible — Se poser la question suivante: "Mon argent est-il utilisé de la façon la plus rentable ? "</t>
  </si>
  <si>
    <t>Rendement des investisseurs et des propriétaires</t>
  </si>
  <si>
    <t>Indique si l’investissement de investisseurs est rentable</t>
  </si>
  <si>
    <t>Élevé — Félicitations!
Faible — Se poser la question suivante : « Le rendement est-il suffisant pour satisfaire les investisseurs ? "</t>
  </si>
  <si>
    <t>Rendement du capital investi</t>
  </si>
  <si>
    <r>
      <t xml:space="preserve">(Bénéfice net avant impôt </t>
    </r>
    <r>
      <rPr>
        <sz val="16"/>
        <color theme="1"/>
        <rFont val="Calibri"/>
        <family val="2"/>
        <scheme val="minor"/>
      </rPr>
      <t>÷</t>
    </r>
    <r>
      <rPr>
        <sz val="10"/>
        <rFont val="Arial"/>
        <family val="2"/>
      </rPr>
      <t xml:space="preserve"> Actif) X 100</t>
    </r>
  </si>
  <si>
    <t>Indique une bonne affectation des ressources financières</t>
  </si>
  <si>
    <t xml:space="preserve">Élevé — Félicitations!
Faible — Peut indiquer des placements inconsidérés
          - Analyser l’actif en vue de convertir éventuellement des biens en espèces </t>
  </si>
  <si>
    <t>Gestion de 
l’exploitation</t>
  </si>
  <si>
    <t>Marge bénéficiaire</t>
  </si>
  <si>
    <r>
      <t xml:space="preserve">(Bénéfice net avant impôt </t>
    </r>
    <r>
      <rPr>
        <b/>
        <sz val="16"/>
        <rFont val="Arial"/>
        <family val="2"/>
      </rPr>
      <t>÷</t>
    </r>
    <r>
      <rPr>
        <b/>
        <sz val="10"/>
        <rFont val="Arial"/>
        <family val="2"/>
        <charset val="204"/>
      </rPr>
      <t xml:space="preserve"> Ventes) X 100</t>
    </r>
  </si>
  <si>
    <t>Indique, en pourcentage, le bénéfice net réalisé sur chaque dollar de vente</t>
  </si>
  <si>
    <t xml:space="preserve">Élevé — Félicitations!
Faible — Augmenter les ventes
          - Diminuer les coûts
          - Faire les deux
</t>
  </si>
  <si>
    <t>Marge bénéficiaire brute</t>
  </si>
  <si>
    <r>
      <t xml:space="preserve">(Bénéfice brut </t>
    </r>
    <r>
      <rPr>
        <sz val="16"/>
        <color theme="1"/>
        <rFont val="Calibri"/>
        <family val="2"/>
        <scheme val="minor"/>
      </rPr>
      <t>÷</t>
    </r>
    <r>
      <rPr>
        <sz val="10"/>
        <rFont val="Arial"/>
        <family val="2"/>
      </rPr>
      <t xml:space="preserve"> Ventes) X 100</t>
    </r>
  </si>
  <si>
    <t>Indique, en pourcentage, le bénéfice brut réalisé sur chaque dollar de vente</t>
  </si>
  <si>
    <t>Élevé — Félicitations!
Faible — Augmenter les ventes
          - Diminuer les coûts
          - Faire les deux</t>
  </si>
  <si>
    <t>BAIIA</t>
  </si>
  <si>
    <t xml:space="preserve">   (Bénéfices nets avant frais financiers, amort. et impôt ÷ Ventes) X 100</t>
  </si>
  <si>
    <t>Gestion des
ressources</t>
  </si>
  <si>
    <t>Ratation des actifs</t>
  </si>
  <si>
    <r>
      <t xml:space="preserve">(Ventes </t>
    </r>
    <r>
      <rPr>
        <b/>
        <sz val="16"/>
        <rFont val="Arial"/>
        <family val="2"/>
      </rPr>
      <t>÷</t>
    </r>
    <r>
      <rPr>
        <b/>
        <sz val="10"/>
        <rFont val="Arial"/>
        <family val="2"/>
        <charset val="204"/>
      </rPr>
      <t xml:space="preserve"> Actif)</t>
    </r>
  </si>
  <si>
    <t>Mesure l’efficacité de l’utilisation des ressources de l’entreprise</t>
  </si>
  <si>
    <t>Élevé — Utilisation efficace des ressources de l’entreprise
Faible — Investissement trop élevé dans les ressources par rapport au niveau des ventes. Calculer les autres ratios de gestion des ressources pour en préciser la cause</t>
  </si>
  <si>
    <t>Coût des produits vendus durant la période  ÷ Stock moyen
Stock moyen = [(Stock d’ouverture + Stock de fermeture) ÷ 2]</t>
  </si>
  <si>
    <t>Indique le nombre de fois que le stock se renouvelle au cours d’une période donnée. Évalue la qualité du stock.</t>
  </si>
  <si>
    <t>Le coefficient acceptable varie selon les entreprises. Pour les denrées périssables, par exemple, la rotation doit être élevée alors que pour les vêtements, elle peut être que saisonnière. Un écart important par rapport aux normes du secteur peut indiquer un surplus de stocks résultant d'une mauvaise politique d'achat ou de marketing</t>
  </si>
  <si>
    <r>
      <t xml:space="preserve">365 jours </t>
    </r>
    <r>
      <rPr>
        <sz val="16"/>
        <rFont val="Arial"/>
        <family val="2"/>
      </rPr>
      <t>÷</t>
    </r>
    <r>
      <rPr>
        <sz val="10"/>
        <rFont val="Arial"/>
        <family val="2"/>
      </rPr>
      <t xml:space="preserve"> Coefficient de rotation des stocks
        (voir ci-dessus)</t>
    </r>
  </si>
  <si>
    <t>jours</t>
  </si>
  <si>
    <t>Indique le nombre moyen de jours d'approvisionnement en stocks (nombre réel de jours pour vendre et renouveler le stock)</t>
  </si>
  <si>
    <t>Voir commentaires ci-dessus. Utiliser comme guide pour rationaliser les achats.</t>
  </si>
  <si>
    <t>Rotation des comptes clients</t>
  </si>
  <si>
    <r>
      <t xml:space="preserve">Ventes </t>
    </r>
    <r>
      <rPr>
        <sz val="16"/>
        <color theme="1"/>
        <rFont val="Calibri"/>
        <family val="2"/>
        <scheme val="minor"/>
      </rPr>
      <t>÷</t>
    </r>
    <r>
      <rPr>
        <sz val="10"/>
        <rFont val="Arial"/>
        <family val="2"/>
      </rPr>
      <t xml:space="preserve"> Comptes clients moyens  
Comptes clients moyens = (Comptes clients d'ouverture + Comptes clients de fermeture) </t>
    </r>
    <r>
      <rPr>
        <sz val="16"/>
        <color theme="1"/>
        <rFont val="Calibri"/>
        <family val="2"/>
        <scheme val="minor"/>
      </rPr>
      <t>÷</t>
    </r>
    <r>
      <rPr>
        <sz val="10"/>
        <rFont val="Arial"/>
        <family val="2"/>
      </rPr>
      <t xml:space="preserve"> 2</t>
    </r>
  </si>
  <si>
    <t>Évalue l'efficacité de la politique de crédit et de recouvrement de l'entreprise</t>
  </si>
  <si>
    <t>Élevé — Félicitations! Indique soit une politique de crédit et de recouvrement efficace, soit le fait que les clients paient comptant en général
Faible — Une plus grande attention doit être accordée aux comptes clients</t>
  </si>
  <si>
    <t>Période de recouvrement des comptes clients</t>
  </si>
  <si>
    <r>
      <t>(365 jours</t>
    </r>
    <r>
      <rPr>
        <sz val="16"/>
        <color theme="1"/>
        <rFont val="Calibri"/>
        <family val="2"/>
        <scheme val="minor"/>
      </rPr>
      <t xml:space="preserve"> ÷</t>
    </r>
    <r>
      <rPr>
        <sz val="10"/>
        <rFont val="Arial"/>
        <family val="2"/>
      </rPr>
      <t xml:space="preserve"> Coefficient de rotation des comptes clients)
         (voir ci-dessus)</t>
    </r>
  </si>
  <si>
    <t>Indique le nombre moyen de jours que prennent les clients pour payer leurs comptes</t>
  </si>
  <si>
    <r>
      <t xml:space="preserve">Faible </t>
    </r>
    <r>
      <rPr>
        <sz val="10"/>
        <rFont val="Arial"/>
        <family val="2"/>
      </rPr>
      <t xml:space="preserve">- Félicitations !
</t>
    </r>
    <r>
      <rPr>
        <b/>
        <sz val="10"/>
        <rFont val="Arial"/>
        <family val="2"/>
        <charset val="204"/>
      </rPr>
      <t>Élevé</t>
    </r>
    <r>
      <rPr>
        <sz val="10"/>
        <rFont val="Arial"/>
        <family val="2"/>
      </rPr>
      <t xml:space="preserve"> - Revient à accorder des prêts sans intérêts aux clients. Consulter les conditions de paiement accordées par les fournisseurs et, s'il y a lieu, modifier la politique de crédit et de recouvrement de sorte que la période de recouvrement des comptes clients et la période de paiement des comptes fournisseurs soient comparables</t>
    </r>
  </si>
  <si>
    <t>Coût des produits vendus durant la période ÷ Fournisseurs moyen
Fournisseurs moyen = [(Fournisseurs à l'ouverture + Fournisseurs à la fermeture) ÷ 2]</t>
  </si>
  <si>
    <t>Période de paiement des comptes fournisseurs</t>
  </si>
  <si>
    <r>
      <t>(365 jours</t>
    </r>
    <r>
      <rPr>
        <sz val="16"/>
        <color theme="1"/>
        <rFont val="Calibri"/>
        <family val="2"/>
        <scheme val="minor"/>
      </rPr>
      <t xml:space="preserve"> ÷</t>
    </r>
    <r>
      <rPr>
        <sz val="10"/>
        <rFont val="Arial"/>
        <family val="2"/>
      </rPr>
      <t xml:space="preserve"> Coefficient de rotation des comptes fournisseurs)
         (voir ci-dessus)</t>
    </r>
  </si>
  <si>
    <t>Indique le nombre moyen de jours que l'entreprise prend pour régler ses comptes fournisseurs.</t>
  </si>
  <si>
    <r>
      <t>Faible</t>
    </r>
    <r>
      <rPr>
        <sz val="10"/>
        <rFont val="Arial"/>
        <family val="2"/>
      </rPr>
      <t xml:space="preserve"> - Adéquat si ceci est causé par l'utilisation des escomptes de caisse ou par le respect des conditions de paiement aux fournisseurs
</t>
    </r>
    <r>
      <rPr>
        <b/>
        <sz val="10"/>
        <rFont val="Arial"/>
        <family val="2"/>
        <charset val="204"/>
      </rPr>
      <t>Élevé</t>
    </r>
    <r>
      <rPr>
        <sz val="10"/>
        <rFont val="Arial"/>
        <family val="2"/>
      </rPr>
      <t xml:space="preserve"> - Vérifier les conditions de paiement accordées par les fournisseurs. Si l'entreprise paie avec retard, sa réputation peut en souffrir de même que ses relations futures avec les fournisseurs</t>
    </r>
  </si>
  <si>
    <t>Gestion de 
la dette</t>
  </si>
  <si>
    <t>Avoir du propriétaire</t>
  </si>
  <si>
    <t>(Actif ÷ Capitaux propres)</t>
  </si>
  <si>
    <t>Indique l'importance de l'investissement du propriétaire dans l'entreprise.</t>
  </si>
  <si>
    <t>- Voir ci-dessous (Endettement)
- Une analyse horizontale indiquera si l'investissement augmente ou diminue</t>
  </si>
  <si>
    <r>
      <t xml:space="preserve">(Passif </t>
    </r>
    <r>
      <rPr>
        <sz val="16"/>
        <rFont val="Arial"/>
        <family val="2"/>
      </rPr>
      <t>÷</t>
    </r>
    <r>
      <rPr>
        <sz val="10"/>
        <rFont val="Arial"/>
        <family val="2"/>
      </rPr>
      <t xml:space="preserve"> Capitaux propres)</t>
    </r>
  </si>
  <si>
    <r>
      <t xml:space="preserve">(Actif ÷ Capitaux propres) </t>
    </r>
    <r>
      <rPr>
        <sz val="16"/>
        <rFont val="Arial"/>
        <family val="2"/>
      </rPr>
      <t>÷</t>
    </r>
    <r>
      <rPr>
        <sz val="10"/>
        <rFont val="Arial"/>
        <family val="2"/>
      </rPr>
      <t xml:space="preserve"> (Passif ÷ Capitaux propres) </t>
    </r>
  </si>
  <si>
    <t>Endettement</t>
  </si>
  <si>
    <r>
      <t xml:space="preserve"> (Passif </t>
    </r>
    <r>
      <rPr>
        <sz val="16"/>
        <color theme="1"/>
        <rFont val="Calibri"/>
        <family val="2"/>
        <scheme val="minor"/>
      </rPr>
      <t>÷</t>
    </r>
    <r>
      <rPr>
        <sz val="10"/>
        <rFont val="Arial"/>
        <family val="2"/>
      </rPr>
      <t xml:space="preserve"> Actif)</t>
    </r>
  </si>
  <si>
    <t>Mesure l'endettement de l'entreprise à l'égard de ses créanciers</t>
  </si>
  <si>
    <r>
      <t>Élevé</t>
    </r>
    <r>
      <rPr>
        <sz val="10"/>
        <rFont val="Arial"/>
        <family val="2"/>
      </rPr>
      <t xml:space="preserve"> - Un montant important est dû aux créanciers. Possibilité de dette excessive
</t>
    </r>
    <r>
      <rPr>
        <b/>
        <sz val="10"/>
        <rFont val="Arial"/>
        <family val="2"/>
        <charset val="204"/>
      </rPr>
      <t>Faible</t>
    </r>
    <r>
      <rPr>
        <sz val="10"/>
        <rFont val="Arial"/>
        <family val="2"/>
      </rPr>
      <t xml:space="preserve"> - Indique un investissement important du propriétaire. Possibilité d'utiliser davantage le financement externe et de réaliser un meilleur rendement sur votre investissement</t>
    </r>
  </si>
  <si>
    <t>Fonds de roulement</t>
  </si>
  <si>
    <r>
      <t xml:space="preserve">(Actif à court terme) </t>
    </r>
    <r>
      <rPr>
        <sz val="16"/>
        <color theme="1"/>
        <rFont val="Calibri"/>
        <family val="2"/>
        <scheme val="minor"/>
      </rPr>
      <t>÷</t>
    </r>
    <r>
      <rPr>
        <sz val="10"/>
        <rFont val="Arial"/>
        <family val="2"/>
      </rPr>
      <t xml:space="preserve"> (Passif à court terme)</t>
    </r>
  </si>
  <si>
    <t>Mesure la capacité de l'entreprise de rembourser ses dettes à court terme (exigibles au cours des 12 prochains mois)</t>
  </si>
  <si>
    <r>
      <t xml:space="preserve">Dans de nombreuses entreprises, un ratio de 2:1 est généralement acceptable, mais les besoins varient selon les secteurs
En général :
</t>
    </r>
    <r>
      <rPr>
        <b/>
        <sz val="10"/>
        <rFont val="Arial"/>
        <family val="2"/>
        <charset val="204"/>
      </rPr>
      <t>Élevé</t>
    </r>
    <r>
      <rPr>
        <sz val="10"/>
        <rFont val="Arial"/>
        <family val="2"/>
      </rPr>
      <t xml:space="preserve"> - Stock peut-être trop élevé ou utilisation inappropriée de l'encaisse
</t>
    </r>
    <r>
      <rPr>
        <b/>
        <sz val="10"/>
        <rFont val="Arial"/>
        <family val="2"/>
        <charset val="204"/>
      </rPr>
      <t>Faible</t>
    </r>
    <r>
      <rPr>
        <sz val="10"/>
        <rFont val="Arial"/>
        <family val="2"/>
      </rPr>
      <t xml:space="preserve"> - Si le ratio est faible ou inférieur à 1, il convient d'analyser soigneusement le montant et l'échéance des emprunts à court terme de l'entreprise. Il sera peut être nécessaire de restructurer la dette ou de procéder à d'autres investissements</t>
    </r>
  </si>
  <si>
    <t>Trésorerie</t>
  </si>
  <si>
    <r>
      <t xml:space="preserve">(Actif à court terme - Stocks) </t>
    </r>
    <r>
      <rPr>
        <sz val="16"/>
        <color theme="1"/>
        <rFont val="Calibri"/>
        <family val="2"/>
        <scheme val="minor"/>
      </rPr>
      <t>÷</t>
    </r>
    <r>
      <rPr>
        <sz val="10"/>
        <rFont val="Arial"/>
        <family val="2"/>
      </rPr>
      <t xml:space="preserve"> (Passif à court terme)</t>
    </r>
  </si>
  <si>
    <t>Mesure la capacité de l'entreprise à respecter ses engagements à court terme à l'aide de ses éléments d'actif les plus liquides (encaisse et comptes clients)</t>
  </si>
  <si>
    <r>
      <t xml:space="preserve">Un ratio de 1:1 est considéré acceptable
</t>
    </r>
    <r>
      <rPr>
        <b/>
        <sz val="10"/>
        <rFont val="Arial"/>
        <family val="2"/>
        <charset val="204"/>
      </rPr>
      <t>Élevé</t>
    </r>
    <r>
      <rPr>
        <sz val="10"/>
        <rFont val="Arial"/>
        <family val="2"/>
      </rPr>
      <t xml:space="preserve"> - Si l'encaisse est mal utilisée ou si les comptes clients sont excessifs, il peut-être nécessaire de modifier la politique de crédit et de recouvrement de l'entreprise
</t>
    </r>
    <r>
      <rPr>
        <b/>
        <sz val="10"/>
        <rFont val="Arial"/>
        <family val="2"/>
        <charset val="204"/>
      </rPr>
      <t xml:space="preserve">Faible </t>
    </r>
    <r>
      <rPr>
        <sz val="10"/>
        <rFont val="Arial"/>
        <family val="2"/>
      </rPr>
      <t>- Voir ci-dessus (fonds de roulement)</t>
    </r>
  </si>
  <si>
    <r>
      <rPr>
        <sz val="20"/>
        <color theme="1"/>
        <rFont val="Calibri"/>
        <family val="2"/>
        <scheme val="minor"/>
      </rPr>
      <t>[</t>
    </r>
    <r>
      <rPr>
        <sz val="10"/>
        <rFont val="Arial"/>
        <family val="2"/>
      </rPr>
      <t xml:space="preserve">Bénéfice net avant impôt </t>
    </r>
    <r>
      <rPr>
        <sz val="16"/>
        <color theme="1"/>
        <rFont val="Calibri"/>
        <family val="2"/>
        <scheme val="minor"/>
      </rPr>
      <t>÷</t>
    </r>
    <r>
      <rPr>
        <sz val="10"/>
        <rFont val="Arial"/>
        <family val="2"/>
      </rPr>
      <t xml:space="preserve"> (Passif à long terme + Capitaux propres)</t>
    </r>
    <r>
      <rPr>
        <sz val="20"/>
        <color theme="1"/>
        <rFont val="Calibri"/>
        <family val="2"/>
        <scheme val="minor"/>
      </rPr>
      <t>]</t>
    </r>
    <r>
      <rPr>
        <sz val="10"/>
        <rFont val="Arial"/>
        <family val="2"/>
      </rPr>
      <t xml:space="preserve">   X 100</t>
    </r>
  </si>
  <si>
    <t xml:space="preserve">États des résultats </t>
  </si>
  <si>
    <t>Pour la période du 1er janvier 2021 au 31 décembre 2021</t>
  </si>
  <si>
    <t>Résultats comparatifs</t>
  </si>
  <si>
    <t>Tableau des indices de performance</t>
  </si>
  <si>
    <t>1er semestre</t>
  </si>
  <si>
    <t>OFFRE TOTALE AVEC LES GÂTERIES ET LES CAFÉS GÂTERIES</t>
  </si>
  <si>
    <t>2e semestre</t>
  </si>
  <si>
    <t>CmO—PmO—Beverage Cost—Marge brute</t>
  </si>
  <si>
    <t>CmO—PmO—Food Cost—BmO</t>
  </si>
  <si>
    <t>CmO—PmO—F&amp;B cost moyen offert—Marge brute</t>
  </si>
  <si>
    <t>F&amp;BCmO</t>
  </si>
  <si>
    <t xml:space="preserve">« Food &amp; Beverage Cost » </t>
  </si>
  <si>
    <t>Prix de vente par produit offert</t>
  </si>
  <si>
    <t>Marge brute gagnée sur la vente de chaque produit offert</t>
  </si>
  <si>
    <t>Musique d'ambiance (avec gestion à l'interne )</t>
  </si>
  <si>
    <t>Emprunt hypothécaire 2</t>
  </si>
  <si>
    <t>Emprunt hypothécaire 3</t>
  </si>
  <si>
    <t>Emprunt hypothécaire 4</t>
  </si>
  <si>
    <t>Emprunt hypothécaire 5</t>
  </si>
  <si>
    <t>Emprunt hypothécaire 6</t>
  </si>
  <si>
    <t>Emprunt hypothécaire 7</t>
  </si>
  <si>
    <t>Emprunt hypothécaire 8</t>
  </si>
  <si>
    <t>Emprunt hypothécaire 9</t>
  </si>
  <si>
    <t>Emprunt hypothécaire 1 (150 000 $ au taux de 4,75 % / années)</t>
  </si>
  <si>
    <t>Coûts des ressources alimentaires pour chaque produit offert (voir recettes standardisées)</t>
  </si>
  <si>
    <t>Associations, droits et cotisations (ARQ et autres)</t>
  </si>
  <si>
    <t>Frais de banque (Frais fixe mensuel 100 $ par mois + frais d'ouverture du dossier 1500 $)</t>
  </si>
  <si>
    <t>Restaurant Moyen avec service restreint</t>
  </si>
  <si>
    <t>LISTE DE PRODUITS ET DE PRIX (JANVIER)</t>
  </si>
  <si>
    <t>LISTE DE PRODUITS ET DE PRIX (FÉVRIER)</t>
  </si>
  <si>
    <t>LISTE DE PRODUITS ET DE PRIX (MARS)</t>
  </si>
  <si>
    <t>LISTE DE PRODUITS ET DE PRIX (AVRIL)</t>
  </si>
  <si>
    <t>LISTE DE PRODUITS ET DE PRIX (MAI)</t>
  </si>
  <si>
    <t>LISTE DE PRODUITS ET DE PRIX (JUIN)</t>
  </si>
  <si>
    <t>LISTE DE PRODUITS ET DE PRIX (JUILLET)</t>
  </si>
  <si>
    <t>LISTE DE PRODUITS ET DE PRIX (AOÛT)</t>
  </si>
  <si>
    <t>LISTE DE PRODUITS ET DE PRIX (SEPTEMBRE)</t>
  </si>
  <si>
    <t>LISTE DE PRODUITS ET DE PRIX (OCTOBRE)</t>
  </si>
  <si>
    <t>LISTE DE PRODUITS ET DE PRIX (NOVEMBRE)</t>
  </si>
  <si>
    <t>LISTE DE PRODUITS ET DE PRIX (DÉCEMBRE)</t>
  </si>
  <si>
    <t>LISTE DE PRODUITS ET DE PRIX (ANNÉE 1)</t>
  </si>
  <si>
    <t>Les Petite Gâteries</t>
  </si>
  <si>
    <t>Petite Gâterie 1</t>
  </si>
  <si>
    <t>Petite Gâterie 2</t>
  </si>
  <si>
    <t>Petite Gâterie 3</t>
  </si>
  <si>
    <t>Petite Gâterie 4</t>
  </si>
  <si>
    <t>Petite Gâterie 5</t>
  </si>
  <si>
    <t>Petite Gâterie 6</t>
  </si>
  <si>
    <t>Petite Gâterie 7</t>
  </si>
  <si>
    <t>Petite Gâterie 8</t>
  </si>
  <si>
    <t>Petite Gâterie 9</t>
  </si>
  <si>
    <t>Petite Gâterie 10</t>
  </si>
  <si>
    <t>Petite Gâterie 11</t>
  </si>
  <si>
    <t>Petite Gâterie 12</t>
  </si>
  <si>
    <t>Les Boissons  Gâteries</t>
  </si>
  <si>
    <t>Boisson spécial numéro 1</t>
  </si>
  <si>
    <t>Boisson spécial numéro 2</t>
  </si>
  <si>
    <t>Boisson spécial numéro 3</t>
  </si>
  <si>
    <t>Boisson spécial numéro 4</t>
  </si>
  <si>
    <t>Boisson spécial numéro 5</t>
  </si>
  <si>
    <t>Boisson spécial numéro 6</t>
  </si>
  <si>
    <t>Boisson spécial numéro 7</t>
  </si>
  <si>
    <t>Boisson spécial numéro 8</t>
  </si>
  <si>
    <t>Boisson spécial numéro 9</t>
  </si>
  <si>
    <t>Boisson spécial numéro 10</t>
  </si>
  <si>
    <t>Boisson spécial numéro 11</t>
  </si>
  <si>
    <t>Boisson spécial numéro 12</t>
  </si>
  <si>
    <t>Demande nourriture</t>
  </si>
  <si>
    <t>Demande boisson</t>
  </si>
  <si>
    <t>Demande totale</t>
  </si>
  <si>
    <t xml:space="preserve">Nombre d’unités moyen acheté par acheteur (Um/A)
</t>
  </si>
  <si>
    <t>Achalandage (A)</t>
  </si>
  <si>
    <t>Nombre total d’unités vendues (U)</t>
  </si>
  <si>
    <t>Les Multiples Plaisirs gourmands</t>
  </si>
  <si>
    <t>Réponses aux différentes questions</t>
  </si>
  <si>
    <t>1. Le total des coûts de main d'œuvre</t>
  </si>
  <si>
    <t>Calculez le pourcentage total des bénéfices aux employés ?</t>
  </si>
  <si>
    <t>2. Les bénéfices</t>
  </si>
  <si>
    <t>Calculez le bénéfice moyen par acheteur (Bm/A) ?</t>
  </si>
  <si>
    <t>Calculez le bénéfice moyen par place (Bm/place) ?</t>
  </si>
  <si>
    <t>Calculez le bénéfice moyen par pi2 (Bm/pi2) ?</t>
  </si>
  <si>
    <t>Calculez le nombre de clients par place par jour?</t>
  </si>
  <si>
    <t>3. Le nombre de client par place par jour</t>
  </si>
  <si>
    <t>Achat de la période</t>
  </si>
  <si>
    <t>Stock disponible pour la vente durant la période</t>
  </si>
  <si>
    <t>Stock en fin de période</t>
  </si>
  <si>
    <t>Coûts des marchandises vendues durant la période</t>
  </si>
  <si>
    <t>X</t>
  </si>
  <si>
    <t>Pourcentage des achats non payé à la fin du mois</t>
  </si>
  <si>
    <t>Comptes fournisseurs en début de période</t>
  </si>
  <si>
    <t>Comptes fournisseurs à la fin de la période</t>
  </si>
  <si>
    <t>Comptes fournisseurs moyen</t>
  </si>
  <si>
    <t xml:space="preserve">jours </t>
  </si>
  <si>
    <t>GESTION DES STOCKS DE NOURRITURES</t>
  </si>
  <si>
    <t>Nombre de jours de provision en inventaire</t>
  </si>
  <si>
    <t>Multiplicateur pour le calcul du nombre de jours de provision</t>
  </si>
  <si>
    <t>GESTION DES STOCKS DE BOISSONS</t>
  </si>
  <si>
    <t xml:space="preserve">GESTION DES STOCKS NOURRITURES ET BOISSONS </t>
  </si>
  <si>
    <t>Stock en début de période</t>
  </si>
  <si>
    <t>Taux de rotation des stocks</t>
  </si>
  <si>
    <t>Niveau des stocks  (nombre de jours de provision)</t>
  </si>
  <si>
    <t>Taux de rotation des comptes fournisseurs</t>
  </si>
  <si>
    <t>O</t>
  </si>
  <si>
    <t>J</t>
  </si>
  <si>
    <t>F</t>
  </si>
  <si>
    <t>M</t>
  </si>
  <si>
    <t>N</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</si>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</sst>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7" formatCode="#,##0.00\ &quot;$&quot;_);\(#,##0.00\ &quot;$&quot;\)"/>
    <numFmt numFmtId="44" formatCode="_ * #,##0.00_)\ &quot;$&quot;_ ;_ * \(#,##0.00\)\ &quot;$&quot;_ ;_ * &quot;-&quot;??_)\ &quot;$&quot;_ ;_ @_ "/>
    <numFmt numFmtId="164" formatCode="&quot;$&quot;#,##0_);\(&quot;$&quot;#,##0\)"/>
    <numFmt numFmtId="165" formatCode="&quot;$&quot;#,##0.00_);\(&quot;$&quot;#,##0.00\)"/>
    <numFmt numFmtId="166" formatCode="_(&quot;$&quot;* #,##0_);_(&quot;$&quot;* \(#,##0\);_(&quot;$&quot;* &quot;-&quot;_);_(@_)"/>
    <numFmt numFmtId="167" formatCode="_(&quot;$&quot;* #,##0.00_);_(&quot;$&quot;* \(#,##0.00\);_(&quot;$&quot;* &quot;-&quot;??_);_(@_)"/>
    <numFmt numFmtId="168" formatCode="_ * #,##0_)\ _$_ ;_ * \(#,##0\)\ _$_ ;_ * &quot;-&quot;_)\ _$_ ;_ @_ "/>
    <numFmt numFmtId="169" formatCode="_ * #,##0.00_)\ _$_ ;_ * \(#,##0.00\)\ _$_ ;_ * &quot;-&quot;??_)\ _$_ ;_ @_ "/>
    <numFmt numFmtId="170" formatCode="[$-C0C]d\ mmm\ yyyy;@"/>
    <numFmt numFmtId="171" formatCode="[$-C0C]d\ mmmm\,\ yyyy;@"/>
    <numFmt numFmtId="172" formatCode="_ * #,##0.00_)\ [$€-1]_ ;_ * \(#,##0.00\)\ [$€-1]_ ;_ * &quot;-&quot;??_)\ [$€-1]_ "/>
    <numFmt numFmtId="173" formatCode="_-* #,##0.00\ &quot;$&quot;_-;_-* #,##0.00\ &quot;$&quot;\-;_-* &quot;-&quot;??\ &quot;$&quot;_-;_-@_-"/>
    <numFmt numFmtId="174" formatCode="0.0"/>
    <numFmt numFmtId="175" formatCode="0.0%"/>
    <numFmt numFmtId="176" formatCode="#,##0.00&quot;$&quot;"/>
    <numFmt numFmtId="177" formatCode="#,##0.00\ &quot;$&quot;"/>
    <numFmt numFmtId="178" formatCode="_-* #,##0.00&quot;$&quot;_-;\-* #,##0.00&quot;$&quot;_-;_-* &quot;-&quot;??&quot;$&quot;_-;_-@_-"/>
    <numFmt numFmtId="179" formatCode="_ * #,##0.00_)\ _$_ ;_ * \(#,##0.00\)\ _$_ ;_ * &quot;-&quot;_)\ _$_ ;_ @_ "/>
    <numFmt numFmtId="180" formatCode="0.0000"/>
    <numFmt numFmtId="181" formatCode="#,##0.0000"/>
    <numFmt numFmtId="182" formatCode="_ * #,##0_)\ &quot;$&quot;_ ;_ * \(#,##0\)\ &quot;$&quot;_ ;_ * &quot;-&quot;??_)\ &quot;$&quot;_ ;_ @_ "/>
    <numFmt numFmtId="183" formatCode="#,##0\ &quot;$&quot;"/>
    <numFmt numFmtId="184" formatCode="_ * #,##0.0000_)\ &quot;$&quot;_ ;_ * \(#,##0.0000\)\ &quot;$&quot;_ ;_ * &quot;-&quot;????_)\ &quot;$&quot;_ ;_ @_ "/>
    <numFmt numFmtId="185" formatCode="0.0000%"/>
    <numFmt numFmtId="186" formatCode="_ * #,##0.00000_)\ &quot;$&quot;_ ;_ * \(#,##0.00000\)\ &quot;$&quot;_ ;_ * &quot;-&quot;?????_)\ &quot;$&quot;_ ;_ @_ "/>
    <numFmt numFmtId="187" formatCode="0.00000%"/>
    <numFmt numFmtId="188" formatCode="#,##0.00000\ &quot;$&quot;_);\(#,##0.00000\ &quot;$&quot;\)"/>
    <numFmt numFmtId="189" formatCode="#,##0.00000\ &quot;$&quot;"/>
    <numFmt numFmtId="190" formatCode="0.000"/>
  </numFmts>
  <fonts count="142" x14ac:knownFonts="1">
    <font>
      <sz val="10"/>
      <name val="Arial"/>
      <charset val="204"/>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b/>
      <sz val="14"/>
      <name val="Arial"/>
      <family val="2"/>
      <charset val="204"/>
    </font>
    <font>
      <b/>
      <sz val="12"/>
      <name val="Arial"/>
      <family val="2"/>
      <charset val="204"/>
    </font>
    <font>
      <sz val="12"/>
      <name val="Arial"/>
      <family val="2"/>
      <charset val="204"/>
    </font>
    <font>
      <b/>
      <sz val="10"/>
      <name val="Arial"/>
      <family val="2"/>
      <charset val="204"/>
    </font>
    <font>
      <b/>
      <sz val="10"/>
      <color theme="0" tint="-0.249977111117893"/>
      <name val="Arial"/>
      <family val="2"/>
    </font>
    <font>
      <sz val="10"/>
      <color theme="0" tint="-0.249977111117893"/>
      <name val="Arial"/>
      <family val="2"/>
    </font>
    <font>
      <sz val="10"/>
      <color rgb="FFD9D9D9"/>
      <name val="Arial"/>
      <family val="2"/>
    </font>
    <font>
      <b/>
      <sz val="10"/>
      <color rgb="FFD9D9D9"/>
      <name val="Arial"/>
      <family val="2"/>
    </font>
    <font>
      <b/>
      <sz val="10"/>
      <color rgb="FF0000FF"/>
      <name val="Arial"/>
      <family val="2"/>
    </font>
    <font>
      <b/>
      <sz val="8"/>
      <name val="Arial"/>
      <family val="2"/>
    </font>
    <font>
      <b/>
      <u/>
      <sz val="10"/>
      <name val="Arial"/>
      <family val="2"/>
      <charset val="204"/>
    </font>
    <font>
      <sz val="10"/>
      <color rgb="FF0000FF"/>
      <name val="Arial"/>
      <family val="2"/>
    </font>
    <font>
      <sz val="11"/>
      <name val="Arial"/>
      <family val="2"/>
      <charset val="204"/>
    </font>
    <font>
      <i/>
      <sz val="11"/>
      <color indexed="45"/>
      <name val="Arial"/>
      <family val="2"/>
    </font>
    <font>
      <u/>
      <sz val="10"/>
      <color indexed="12"/>
      <name val="Verdana"/>
      <family val="2"/>
    </font>
    <font>
      <sz val="10"/>
      <name val="Verdana"/>
      <family val="2"/>
    </font>
    <font>
      <sz val="11"/>
      <color indexed="17"/>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u/>
      <sz val="10"/>
      <color theme="10"/>
      <name val="Arial"/>
      <family val="2"/>
    </font>
    <font>
      <u/>
      <sz val="10"/>
      <color theme="11"/>
      <name val="Arial"/>
      <family val="2"/>
    </font>
    <font>
      <b/>
      <sz val="8"/>
      <color theme="1"/>
      <name val="Arial"/>
      <family val="2"/>
    </font>
    <font>
      <b/>
      <sz val="10"/>
      <color theme="0"/>
      <name val="Arial"/>
      <family val="2"/>
    </font>
    <font>
      <sz val="10"/>
      <color theme="0"/>
      <name val="Arial"/>
      <family val="2"/>
    </font>
    <font>
      <sz val="10"/>
      <color theme="0" tint="-0.14999847407452621"/>
      <name val="Arial"/>
      <family val="2"/>
    </font>
    <font>
      <b/>
      <sz val="10"/>
      <color theme="0" tint="-0.14999847407452621"/>
      <name val="Arial"/>
      <family val="2"/>
    </font>
    <font>
      <b/>
      <sz val="12"/>
      <color theme="1"/>
      <name val="Calibri"/>
      <family val="2"/>
      <scheme val="minor"/>
    </font>
    <font>
      <b/>
      <sz val="10"/>
      <color theme="1"/>
      <name val="Arial"/>
      <family val="2"/>
    </font>
    <font>
      <b/>
      <sz val="16"/>
      <color theme="1"/>
      <name val="Calibri"/>
      <family val="2"/>
      <scheme val="minor"/>
    </font>
    <font>
      <sz val="14"/>
      <color theme="1"/>
      <name val="Calibri"/>
      <family val="2"/>
      <scheme val="minor"/>
    </font>
    <font>
      <b/>
      <sz val="12"/>
      <color rgb="FF0000FF"/>
      <name val="Calibri"/>
      <family val="2"/>
      <scheme val="minor"/>
    </font>
    <font>
      <b/>
      <sz val="10"/>
      <color theme="0" tint="-4.9989318521683403E-2"/>
      <name val="Arial"/>
      <family val="2"/>
    </font>
    <font>
      <sz val="10"/>
      <color theme="0" tint="-4.9989318521683403E-2"/>
      <name val="Arial"/>
      <family val="2"/>
    </font>
    <font>
      <b/>
      <u/>
      <sz val="10"/>
      <color theme="0" tint="-4.9989318521683403E-2"/>
      <name val="Arial"/>
      <family val="2"/>
    </font>
    <font>
      <sz val="10"/>
      <color theme="1"/>
      <name val="Arial"/>
      <family val="2"/>
    </font>
    <font>
      <b/>
      <sz val="20"/>
      <color theme="1"/>
      <name val="Calibri"/>
      <family val="2"/>
      <scheme val="minor"/>
    </font>
    <font>
      <b/>
      <sz val="10"/>
      <color rgb="FF0003FF"/>
      <name val="Arial"/>
      <family val="2"/>
    </font>
    <font>
      <sz val="10"/>
      <color rgb="FF0003FF"/>
      <name val="Arial"/>
      <family val="2"/>
    </font>
    <font>
      <sz val="8"/>
      <name val="Arial"/>
      <family val="2"/>
    </font>
    <font>
      <sz val="14"/>
      <color rgb="FF333333"/>
      <name val="Verdana"/>
      <family val="2"/>
    </font>
    <font>
      <b/>
      <sz val="10"/>
      <name val="Arial"/>
      <family val="2"/>
    </font>
    <font>
      <b/>
      <sz val="14"/>
      <name val="Verdana"/>
      <family val="2"/>
    </font>
    <font>
      <b/>
      <sz val="10"/>
      <color rgb="FF272AD5"/>
      <name val="Arial"/>
      <family val="2"/>
    </font>
    <font>
      <b/>
      <u val="singleAccounting"/>
      <sz val="10"/>
      <name val="Arial"/>
      <family val="2"/>
    </font>
    <font>
      <b/>
      <u val="singleAccounting"/>
      <sz val="10"/>
      <color theme="0"/>
      <name val="Arial"/>
      <family val="2"/>
    </font>
    <font>
      <sz val="14"/>
      <color theme="0"/>
      <name val="Arial"/>
      <family val="2"/>
    </font>
    <font>
      <b/>
      <sz val="10"/>
      <color indexed="9"/>
      <name val="Arial"/>
      <family val="2"/>
      <charset val="204"/>
    </font>
    <font>
      <sz val="10"/>
      <color indexed="9"/>
      <name val="Arial"/>
      <family val="2"/>
    </font>
    <font>
      <sz val="10"/>
      <color rgb="FFFF0000"/>
      <name val="Arial"/>
      <family val="2"/>
    </font>
    <font>
      <b/>
      <u/>
      <sz val="10"/>
      <name val="Arial"/>
      <family val="2"/>
    </font>
    <font>
      <b/>
      <sz val="12"/>
      <name val="Arial"/>
      <family val="2"/>
    </font>
    <font>
      <sz val="12"/>
      <name val="Arial"/>
      <family val="2"/>
    </font>
    <font>
      <sz val="48"/>
      <name val="Arial"/>
      <family val="2"/>
    </font>
    <font>
      <b/>
      <sz val="20"/>
      <name val="Arial"/>
      <family val="2"/>
    </font>
    <font>
      <sz val="14"/>
      <color theme="1"/>
      <name val="Arial"/>
      <family val="2"/>
    </font>
    <font>
      <b/>
      <sz val="12"/>
      <color theme="1"/>
      <name val="Arial"/>
      <family val="2"/>
    </font>
    <font>
      <sz val="12"/>
      <color theme="1"/>
      <name val="Arial"/>
      <family val="2"/>
    </font>
    <font>
      <b/>
      <sz val="12"/>
      <color indexed="9"/>
      <name val="Arial"/>
      <family val="2"/>
      <charset val="204"/>
    </font>
    <font>
      <b/>
      <sz val="12"/>
      <color theme="0"/>
      <name val="Arial"/>
      <family val="2"/>
    </font>
    <font>
      <sz val="12"/>
      <color theme="0"/>
      <name val="Calibri"/>
      <family val="2"/>
      <scheme val="minor"/>
    </font>
    <font>
      <b/>
      <sz val="20"/>
      <color theme="0"/>
      <name val="Arial"/>
      <family val="2"/>
    </font>
    <font>
      <b/>
      <sz val="14"/>
      <color theme="0"/>
      <name val="Arial"/>
      <family val="2"/>
    </font>
    <font>
      <b/>
      <sz val="80"/>
      <color theme="0"/>
      <name val="Calibri"/>
      <family val="2"/>
      <scheme val="minor"/>
    </font>
    <font>
      <b/>
      <sz val="16"/>
      <color theme="0"/>
      <name val="Calibri"/>
      <family val="2"/>
      <scheme val="minor"/>
    </font>
    <font>
      <sz val="14"/>
      <color theme="0"/>
      <name val="Calibri"/>
      <family val="2"/>
      <scheme val="minor"/>
    </font>
    <font>
      <b/>
      <sz val="20"/>
      <color theme="0"/>
      <name val="Calibri"/>
      <family val="2"/>
      <scheme val="minor"/>
    </font>
    <font>
      <b/>
      <sz val="80"/>
      <color theme="1"/>
      <name val="Calibri"/>
      <family val="2"/>
      <scheme val="minor"/>
    </font>
    <font>
      <sz val="48"/>
      <color theme="0"/>
      <name val="Arial"/>
      <family val="2"/>
    </font>
    <font>
      <sz val="48"/>
      <color theme="1"/>
      <name val="Arial"/>
      <family val="2"/>
    </font>
    <font>
      <sz val="10"/>
      <color indexed="14"/>
      <name val="Arial"/>
      <family val="2"/>
    </font>
    <font>
      <sz val="10"/>
      <color theme="7" tint="0.79998168889431442"/>
      <name val="Arial"/>
      <family val="2"/>
    </font>
    <font>
      <b/>
      <sz val="10"/>
      <color indexed="14"/>
      <name val="Arial"/>
      <family val="2"/>
    </font>
    <font>
      <sz val="10"/>
      <color indexed="10"/>
      <name val="Arial"/>
      <family val="2"/>
    </font>
    <font>
      <b/>
      <sz val="10"/>
      <color theme="0"/>
      <name val="Arial"/>
      <family val="2"/>
      <charset val="204"/>
    </font>
    <font>
      <b/>
      <sz val="13"/>
      <color theme="1"/>
      <name val="Arial"/>
      <family val="2"/>
    </font>
    <font>
      <sz val="13"/>
      <color theme="1"/>
      <name val="Arial"/>
      <family val="2"/>
    </font>
    <font>
      <b/>
      <sz val="12"/>
      <color rgb="FF0003FF"/>
      <name val="Arial"/>
      <family val="2"/>
    </font>
    <font>
      <b/>
      <sz val="80"/>
      <color theme="7" tint="0.59999389629810485"/>
      <name val="Calibri"/>
      <family val="2"/>
      <scheme val="minor"/>
    </font>
    <font>
      <sz val="12"/>
      <color theme="7" tint="0.59999389629810485"/>
      <name val="Calibri"/>
      <family val="2"/>
      <scheme val="minor"/>
    </font>
    <font>
      <b/>
      <sz val="9"/>
      <color indexed="81"/>
      <name val="Arial"/>
      <family val="2"/>
    </font>
    <font>
      <b/>
      <sz val="9"/>
      <color rgb="FF000000"/>
      <name val="Arial"/>
      <family val="2"/>
    </font>
    <font>
      <b/>
      <u/>
      <sz val="10"/>
      <color theme="1"/>
      <name val="Arial"/>
      <family val="2"/>
    </font>
    <font>
      <sz val="10"/>
      <color rgb="FF000000"/>
      <name val="Arial"/>
      <family val="2"/>
    </font>
    <font>
      <b/>
      <sz val="10"/>
      <color rgb="FF000000"/>
      <name val="Arial"/>
      <family val="2"/>
    </font>
    <font>
      <b/>
      <u/>
      <sz val="14"/>
      <color theme="1"/>
      <name val="Arial"/>
      <family val="2"/>
    </font>
    <font>
      <sz val="9"/>
      <color indexed="81"/>
      <name val="Arial"/>
      <family val="2"/>
    </font>
    <font>
      <b/>
      <sz val="10"/>
      <color indexed="81"/>
      <name val="Arial"/>
      <family val="2"/>
    </font>
    <font>
      <b/>
      <u/>
      <sz val="12"/>
      <color theme="1"/>
      <name val="Arial"/>
      <family val="2"/>
    </font>
    <font>
      <b/>
      <u/>
      <sz val="10"/>
      <color theme="0"/>
      <name val="Arial"/>
      <family val="2"/>
      <charset val="204"/>
    </font>
    <font>
      <b/>
      <u/>
      <sz val="10"/>
      <color indexed="9"/>
      <name val="Arial"/>
      <family val="2"/>
      <charset val="204"/>
    </font>
    <font>
      <sz val="9"/>
      <color rgb="FF000000"/>
      <name val="Arial"/>
      <family val="2"/>
    </font>
    <font>
      <sz val="12"/>
      <color theme="1"/>
      <name val="Calibri"/>
      <family val="2"/>
      <charset val="134"/>
      <scheme val="minor"/>
    </font>
    <font>
      <b/>
      <sz val="12"/>
      <color theme="1"/>
      <name val="Calibri"/>
      <family val="2"/>
      <charset val="238"/>
      <scheme val="minor"/>
    </font>
    <font>
      <sz val="10"/>
      <color rgb="FF002060"/>
      <name val="Arial"/>
      <family val="2"/>
    </font>
    <font>
      <b/>
      <sz val="16"/>
      <name val="Arial"/>
      <family val="2"/>
    </font>
    <font>
      <b/>
      <sz val="10"/>
      <color rgb="FF000090"/>
      <name val="Arial"/>
      <family val="2"/>
    </font>
    <font>
      <sz val="10"/>
      <name val="Arial"/>
      <family val="2"/>
      <charset val="204"/>
    </font>
    <font>
      <sz val="20"/>
      <color theme="1"/>
      <name val="Calibri"/>
      <family val="2"/>
      <scheme val="minor"/>
    </font>
    <font>
      <sz val="16"/>
      <color theme="1"/>
      <name val="Calibri"/>
      <family val="2"/>
      <scheme val="minor"/>
    </font>
    <font>
      <sz val="10"/>
      <color rgb="FF000090"/>
      <name val="Arial"/>
      <family val="2"/>
    </font>
    <font>
      <b/>
      <sz val="10"/>
      <color rgb="FF002060"/>
      <name val="Arial"/>
      <family val="2"/>
    </font>
    <font>
      <sz val="16"/>
      <name val="Arial"/>
      <family val="2"/>
    </font>
    <font>
      <b/>
      <u/>
      <sz val="12"/>
      <name val="Arial Black"/>
      <family val="2"/>
    </font>
    <font>
      <b/>
      <u val="singleAccounting"/>
      <sz val="12"/>
      <name val="Arial"/>
      <family val="2"/>
    </font>
    <font>
      <b/>
      <sz val="12"/>
      <color rgb="FF0070C0"/>
      <name val="Arial"/>
      <family val="2"/>
    </font>
    <font>
      <b/>
      <u val="singleAccounting"/>
      <sz val="12"/>
      <color rgb="FF0070C0"/>
      <name val="Arial"/>
      <family val="2"/>
    </font>
    <font>
      <b/>
      <u/>
      <sz val="12"/>
      <name val="Arial"/>
      <family val="2"/>
      <charset val="204"/>
    </font>
    <font>
      <sz val="12"/>
      <color theme="0"/>
      <name val="Arial"/>
      <family val="2"/>
    </font>
    <font>
      <b/>
      <sz val="12"/>
      <color rgb="FF0070C0"/>
      <name val="Arial"/>
      <family val="2"/>
      <charset val="204"/>
    </font>
    <font>
      <sz val="12"/>
      <name val="Arial Black"/>
      <family val="2"/>
    </font>
    <font>
      <u/>
      <sz val="12"/>
      <name val="Arial"/>
      <family val="2"/>
    </font>
    <font>
      <b/>
      <i/>
      <sz val="12"/>
      <name val="Arial"/>
      <family val="2"/>
    </font>
    <font>
      <b/>
      <sz val="12"/>
      <name val="Arial Black"/>
      <family val="2"/>
    </font>
    <font>
      <b/>
      <sz val="12"/>
      <name val="Zapf Dingbats"/>
      <charset val="2"/>
    </font>
    <font>
      <b/>
      <u val="doubleAccounting"/>
      <sz val="12"/>
      <name val="Arial"/>
      <family val="2"/>
    </font>
    <font>
      <b/>
      <sz val="17"/>
      <color theme="0"/>
      <name val="Arial"/>
      <family val="2"/>
    </font>
    <font>
      <b/>
      <sz val="17"/>
      <name val="Arial"/>
      <family val="2"/>
    </font>
    <font>
      <sz val="12"/>
      <name val="Verdana"/>
      <family val="2"/>
    </font>
    <font>
      <b/>
      <sz val="12"/>
      <name val="Verdana"/>
      <family val="2"/>
    </font>
    <font>
      <b/>
      <sz val="10"/>
      <name val="Verdana"/>
      <family val="2"/>
    </font>
    <font>
      <b/>
      <u/>
      <sz val="12"/>
      <name val="Arial"/>
      <family val="2"/>
    </font>
    <font>
      <b/>
      <sz val="9"/>
      <color indexed="8"/>
      <name val="Verdana"/>
      <family val="2"/>
    </font>
    <font>
      <sz val="9"/>
      <color indexed="8"/>
      <name val="Verdana"/>
      <family val="2"/>
    </font>
    <font>
      <b/>
      <sz val="9"/>
      <color rgb="FF000000"/>
      <name val="Verdana"/>
      <family val="2"/>
    </font>
    <font>
      <sz val="9"/>
      <color rgb="FF000000"/>
      <name val="Verdana"/>
      <family val="2"/>
    </font>
    <font>
      <b/>
      <sz val="10"/>
      <color theme="1"/>
      <name val="Arial"/>
      <family val="2"/>
      <charset val="204"/>
    </font>
    <font>
      <b/>
      <sz val="24"/>
      <name val="Arial"/>
      <family val="2"/>
    </font>
    <font>
      <b/>
      <sz val="20"/>
      <color theme="1"/>
      <name val="Arial"/>
      <family val="2"/>
    </font>
    <font>
      <b/>
      <u/>
      <sz val="10"/>
      <name val="Verdana"/>
      <family val="2"/>
    </font>
    <font>
      <b/>
      <u val="singleAccounting"/>
      <sz val="10"/>
      <name val="Verdana"/>
      <family val="2"/>
    </font>
    <font>
      <b/>
      <u val="singleAccounting"/>
      <sz val="10"/>
      <color theme="1"/>
      <name val="Verdana"/>
      <family val="2"/>
    </font>
    <font>
      <sz val="10"/>
      <name val="Arial"/>
      <family val="2"/>
    </font>
    <font>
      <b/>
      <sz val="14"/>
      <color theme="1"/>
      <name val="Arial"/>
      <family val="2"/>
    </font>
  </fonts>
  <fills count="35">
    <fill>
      <patternFill patternType="none"/>
    </fill>
    <fill>
      <patternFill patternType="gray125"/>
    </fill>
    <fill>
      <patternFill patternType="solid">
        <fgColor theme="0" tint="-0.14999847407452621"/>
        <bgColor indexed="64"/>
      </patternFill>
    </fill>
    <fill>
      <patternFill patternType="solid">
        <fgColor rgb="FF000000"/>
        <bgColor rgb="FF000000"/>
      </patternFill>
    </fill>
    <fill>
      <patternFill patternType="solid">
        <fgColor theme="1"/>
        <bgColor rgb="FF000000"/>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indexed="26"/>
      </patternFill>
    </fill>
    <fill>
      <patternFill patternType="solid">
        <fgColor indexed="42"/>
      </patternFill>
    </fill>
    <fill>
      <patternFill patternType="solid">
        <fgColor indexed="55"/>
      </patternFill>
    </fill>
    <fill>
      <patternFill patternType="solid">
        <fgColor theme="7" tint="0.59999389629810485"/>
        <bgColor indexed="64"/>
      </patternFill>
    </fill>
    <fill>
      <patternFill patternType="solid">
        <fgColor theme="0" tint="-0.14999847407452621"/>
        <bgColor rgb="FF000000"/>
      </patternFill>
    </fill>
    <fill>
      <patternFill patternType="solid">
        <fgColor theme="4" tint="0.59999389629810485"/>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7" tint="0.79998168889431442"/>
        <bgColor indexed="64"/>
      </patternFill>
    </fill>
    <fill>
      <patternFill patternType="solid">
        <fgColor rgb="FFC0C0C0"/>
        <bgColor rgb="FF000000"/>
      </patternFill>
    </fill>
    <fill>
      <patternFill patternType="solid">
        <fgColor theme="2" tint="-0.249977111117893"/>
        <bgColor indexed="64"/>
      </patternFill>
    </fill>
    <fill>
      <patternFill patternType="solid">
        <fgColor theme="4" tint="0.39997558519241921"/>
        <bgColor indexed="64"/>
      </patternFill>
    </fill>
    <fill>
      <patternFill patternType="solid">
        <fgColor rgb="FFBFBFBF"/>
        <bgColor rgb="FF000000"/>
      </patternFill>
    </fill>
    <fill>
      <patternFill patternType="solid">
        <fgColor rgb="FFFFFFFF"/>
        <bgColor rgb="FF000000"/>
      </patternFill>
    </fill>
    <fill>
      <patternFill patternType="solid">
        <fgColor theme="0" tint="-0.249977111117893"/>
        <bgColor rgb="FF000000"/>
      </patternFill>
    </fill>
    <fill>
      <patternFill patternType="solid">
        <fgColor theme="0"/>
        <bgColor rgb="FF000000"/>
      </patternFill>
    </fill>
    <fill>
      <patternFill patternType="solid">
        <fgColor theme="8" tint="-0.249977111117893"/>
        <bgColor indexed="64"/>
      </patternFill>
    </fill>
    <fill>
      <patternFill patternType="solid">
        <fgColor theme="7" tint="0.59999389629810485"/>
        <bgColor rgb="FF000000"/>
      </patternFill>
    </fill>
    <fill>
      <patternFill patternType="solid">
        <fgColor theme="8"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indexed="55"/>
        <bgColor indexed="64"/>
      </patternFill>
    </fill>
    <fill>
      <patternFill patternType="solid">
        <fgColor rgb="FFFFFF00"/>
        <bgColor rgb="FF000000"/>
      </patternFill>
    </fill>
  </fills>
  <borders count="117">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style="thin">
        <color rgb="FF000000"/>
      </right>
      <top style="thick">
        <color auto="1"/>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bottom style="thick">
        <color auto="1"/>
      </bottom>
      <diagonal/>
    </border>
    <border>
      <left/>
      <right style="thin">
        <color auto="1"/>
      </right>
      <top style="thin">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diagonal/>
    </border>
    <border>
      <left style="thin">
        <color auto="1"/>
      </left>
      <right/>
      <top/>
      <bottom/>
      <diagonal/>
    </border>
    <border>
      <left/>
      <right style="thin">
        <color auto="1"/>
      </right>
      <top/>
      <bottom style="thick">
        <color auto="1"/>
      </bottom>
      <diagonal/>
    </border>
    <border>
      <left style="thin">
        <color auto="1"/>
      </left>
      <right style="thick">
        <color auto="1"/>
      </right>
      <top/>
      <bottom style="thick">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style="thin">
        <color auto="1"/>
      </left>
      <right style="thick">
        <color auto="1"/>
      </right>
      <top/>
      <bottom/>
      <diagonal/>
    </border>
    <border>
      <left style="thick">
        <color auto="1"/>
      </left>
      <right style="thin">
        <color auto="1"/>
      </right>
      <top style="thick">
        <color auto="1"/>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ck">
        <color auto="1"/>
      </right>
      <top style="thick">
        <color auto="1"/>
      </top>
      <bottom style="thick">
        <color auto="1"/>
      </bottom>
      <diagonal/>
    </border>
    <border>
      <left/>
      <right style="thin">
        <color rgb="FF000000"/>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bottom style="medium">
        <color auto="1"/>
      </bottom>
      <diagonal/>
    </border>
    <border>
      <left/>
      <right style="thick">
        <color auto="1"/>
      </right>
      <top/>
      <bottom style="medium">
        <color auto="1"/>
      </bottom>
      <diagonal/>
    </border>
    <border>
      <left style="thick">
        <color auto="1"/>
      </left>
      <right style="thick">
        <color auto="1"/>
      </right>
      <top style="medium">
        <color auto="1"/>
      </top>
      <bottom/>
      <diagonal/>
    </border>
    <border>
      <left style="thick">
        <color auto="1"/>
      </left>
      <right style="thick">
        <color auto="1"/>
      </right>
      <top/>
      <bottom style="dashed">
        <color auto="1"/>
      </bottom>
      <diagonal/>
    </border>
    <border>
      <left/>
      <right/>
      <top/>
      <bottom style="dashed">
        <color auto="1"/>
      </bottom>
      <diagonal/>
    </border>
    <border>
      <left style="thick">
        <color auto="1"/>
      </left>
      <right/>
      <top/>
      <bottom style="dashed">
        <color auto="1"/>
      </bottom>
      <diagonal/>
    </border>
    <border>
      <left/>
      <right style="thick">
        <color auto="1"/>
      </right>
      <top/>
      <bottom style="dashed">
        <color auto="1"/>
      </bottom>
      <diagonal/>
    </border>
    <border>
      <left/>
      <right/>
      <top/>
      <bottom style="medium">
        <color auto="1"/>
      </bottom>
      <diagonal/>
    </border>
    <border>
      <left style="thick">
        <color auto="1"/>
      </left>
      <right/>
      <top/>
      <bottom style="medium">
        <color auto="1"/>
      </bottom>
      <diagonal/>
    </border>
    <border>
      <left style="thick">
        <color auto="1"/>
      </left>
      <right/>
      <top style="medium">
        <color auto="1"/>
      </top>
      <bottom style="dashed">
        <color auto="1"/>
      </bottom>
      <diagonal/>
    </border>
    <border>
      <left style="thin">
        <color indexed="64"/>
      </left>
      <right style="thin">
        <color indexed="64"/>
      </right>
      <top style="thin">
        <color indexed="64"/>
      </top>
      <bottom style="thin">
        <color indexed="64"/>
      </bottom>
      <diagonal/>
    </border>
    <border>
      <left style="thick">
        <color auto="1"/>
      </left>
      <right/>
      <top style="medium">
        <color auto="1"/>
      </top>
      <bottom/>
      <diagonal/>
    </border>
    <border>
      <left/>
      <right style="thick">
        <color auto="1"/>
      </right>
      <top style="medium">
        <color auto="1"/>
      </top>
      <bottom/>
      <diagonal/>
    </border>
    <border>
      <left style="thick">
        <color auto="1"/>
      </left>
      <right style="thick">
        <color auto="1"/>
      </right>
      <top style="medium">
        <color auto="1"/>
      </top>
      <bottom style="dotted">
        <color auto="1"/>
      </bottom>
      <diagonal/>
    </border>
    <border>
      <left style="thick">
        <color auto="1"/>
      </left>
      <right/>
      <top style="medium">
        <color auto="1"/>
      </top>
      <bottom style="dotted">
        <color auto="1"/>
      </bottom>
      <diagonal/>
    </border>
    <border>
      <left/>
      <right style="thick">
        <color auto="1"/>
      </right>
      <top style="medium">
        <color auto="1"/>
      </top>
      <bottom style="dotted">
        <color auto="1"/>
      </bottom>
      <diagonal/>
    </border>
    <border>
      <left style="thick">
        <color auto="1"/>
      </left>
      <right style="thick">
        <color auto="1"/>
      </right>
      <top style="dotted">
        <color auto="1"/>
      </top>
      <bottom style="thick">
        <color auto="1"/>
      </bottom>
      <diagonal/>
    </border>
    <border>
      <left style="thick">
        <color auto="1"/>
      </left>
      <right/>
      <top style="dotted">
        <color auto="1"/>
      </top>
      <bottom style="thick">
        <color auto="1"/>
      </bottom>
      <diagonal/>
    </border>
    <border>
      <left/>
      <right style="thick">
        <color auto="1"/>
      </right>
      <top style="dotted">
        <color auto="1"/>
      </top>
      <bottom style="thick">
        <color auto="1"/>
      </bottom>
      <diagonal/>
    </border>
    <border>
      <left style="mediumDashed">
        <color auto="1"/>
      </left>
      <right/>
      <top/>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style="thick">
        <color auto="1"/>
      </top>
      <bottom style="thick">
        <color auto="1"/>
      </bottom>
      <diagonal/>
    </border>
    <border>
      <left style="medium">
        <color auto="1"/>
      </left>
      <right style="thick">
        <color auto="1"/>
      </right>
      <top style="medium">
        <color auto="1"/>
      </top>
      <bottom style="medium">
        <color auto="1"/>
      </bottom>
      <diagonal/>
    </border>
    <border>
      <left style="medium">
        <color auto="1"/>
      </left>
      <right style="thick">
        <color auto="1"/>
      </right>
      <top style="thick">
        <color auto="1"/>
      </top>
      <bottom style="thick">
        <color auto="1"/>
      </bottom>
      <diagonal/>
    </border>
    <border>
      <left/>
      <right/>
      <top style="medium">
        <color auto="1"/>
      </top>
      <bottom/>
      <diagonal/>
    </border>
    <border>
      <left style="thick">
        <color auto="1"/>
      </left>
      <right style="thick">
        <color auto="1"/>
      </right>
      <top style="thick">
        <color auto="1"/>
      </top>
      <bottom style="medium">
        <color auto="1"/>
      </bottom>
      <diagonal/>
    </border>
    <border>
      <left style="hair">
        <color auto="1"/>
      </left>
      <right style="thick">
        <color auto="1"/>
      </right>
      <top style="hair">
        <color auto="1"/>
      </top>
      <bottom style="hair">
        <color auto="1"/>
      </bottom>
      <diagonal/>
    </border>
    <border>
      <left/>
      <right style="thick">
        <color auto="1"/>
      </right>
      <top style="hair">
        <color auto="1"/>
      </top>
      <bottom style="hair">
        <color auto="1"/>
      </bottom>
      <diagonal/>
    </border>
    <border>
      <left style="thick">
        <color auto="1"/>
      </left>
      <right style="thick">
        <color auto="1"/>
      </right>
      <top style="medium">
        <color auto="1"/>
      </top>
      <bottom style="medium">
        <color auto="1"/>
      </bottom>
      <diagonal/>
    </border>
    <border>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bottom style="medium">
        <color auto="1"/>
      </bottom>
      <diagonal/>
    </border>
    <border>
      <left/>
      <right style="thin">
        <color auto="1"/>
      </right>
      <top/>
      <bottom style="medium">
        <color auto="1"/>
      </bottom>
      <diagonal/>
    </border>
    <border>
      <left/>
      <right/>
      <top style="medium">
        <color auto="1"/>
      </top>
      <bottom style="medium">
        <color auto="1"/>
      </bottom>
      <diagonal/>
    </border>
    <border>
      <left style="thin">
        <color auto="1"/>
      </left>
      <right style="thick">
        <color auto="1"/>
      </right>
      <top style="medium">
        <color auto="1"/>
      </top>
      <bottom style="medium">
        <color auto="1"/>
      </bottom>
      <diagonal/>
    </border>
    <border>
      <left/>
      <right style="thin">
        <color auto="1"/>
      </right>
      <top style="medium">
        <color auto="1"/>
      </top>
      <bottom style="medium">
        <color auto="1"/>
      </bottom>
      <diagonal/>
    </border>
    <border>
      <left style="thick">
        <color auto="1"/>
      </left>
      <right style="thin">
        <color auto="1"/>
      </right>
      <top style="thick">
        <color auto="1"/>
      </top>
      <bottom style="medium">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right style="thin">
        <color auto="1"/>
      </right>
      <top style="medium">
        <color auto="1"/>
      </top>
      <bottom style="thick">
        <color auto="1"/>
      </bottom>
      <diagonal/>
    </border>
    <border>
      <left/>
      <right/>
      <top style="medium">
        <color auto="1"/>
      </top>
      <bottom style="thick">
        <color auto="1"/>
      </bottom>
      <diagonal/>
    </border>
    <border>
      <left style="thin">
        <color auto="1"/>
      </left>
      <right style="thick">
        <color auto="1"/>
      </right>
      <top style="medium">
        <color auto="1"/>
      </top>
      <bottom style="thick">
        <color auto="1"/>
      </bottom>
      <diagonal/>
    </border>
    <border>
      <left style="thick">
        <color auto="1"/>
      </left>
      <right style="thin">
        <color auto="1"/>
      </right>
      <top style="medium">
        <color auto="1"/>
      </top>
      <bottom style="medium">
        <color auto="1"/>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hair">
        <color auto="1"/>
      </left>
      <right style="hair">
        <color auto="1"/>
      </right>
      <top style="hair">
        <color auto="1"/>
      </top>
      <bottom style="hair">
        <color auto="1"/>
      </bottom>
      <diagonal/>
    </border>
    <border>
      <left/>
      <right/>
      <top/>
      <bottom style="mediumDashed">
        <color auto="1"/>
      </bottom>
      <diagonal/>
    </border>
    <border>
      <left/>
      <right/>
      <top style="mediumDashed">
        <color auto="1"/>
      </top>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auto="1"/>
      </left>
      <right style="thick">
        <color auto="1"/>
      </right>
      <top style="hair">
        <color auto="1"/>
      </top>
      <bottom/>
      <diagonal/>
    </border>
    <border>
      <left style="thick">
        <color auto="1"/>
      </left>
      <right style="thick">
        <color auto="1"/>
      </right>
      <top style="dotted">
        <color auto="1"/>
      </top>
      <bottom/>
      <diagonal/>
    </border>
    <border>
      <left/>
      <right style="thick">
        <color auto="1"/>
      </right>
      <top style="dotted">
        <color auto="1"/>
      </top>
      <bottom/>
      <diagonal/>
    </border>
  </borders>
  <cellStyleXfs count="131">
    <xf numFmtId="0" fontId="0" fillId="0" borderId="0"/>
    <xf numFmtId="49" fontId="19" fillId="0" borderId="0">
      <alignment horizontal="left" vertical="top"/>
    </xf>
    <xf numFmtId="0" fontId="5" fillId="8" borderId="33" applyNumberFormat="0" applyFont="0" applyAlignment="0" applyProtection="0"/>
    <xf numFmtId="172" fontId="5" fillId="0" borderId="0" applyFont="0" applyFill="0" applyBorder="0" applyAlignment="0" applyProtection="0"/>
    <xf numFmtId="0" fontId="20" fillId="0" borderId="0" applyNumberFormat="0" applyFill="0" applyBorder="0" applyAlignment="0" applyProtection="0">
      <alignment vertical="top"/>
      <protection locked="0"/>
    </xf>
    <xf numFmtId="173"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 fillId="0" borderId="0"/>
    <xf numFmtId="0" fontId="21" fillId="0" borderId="0"/>
    <xf numFmtId="0" fontId="5" fillId="0" borderId="0"/>
    <xf numFmtId="9" fontId="5" fillId="0" borderId="0" applyFont="0" applyFill="0" applyBorder="0" applyAlignment="0" applyProtection="0"/>
    <xf numFmtId="0" fontId="22" fillId="9" borderId="0" applyNumberFormat="0" applyBorder="0" applyAlignment="0" applyProtection="0"/>
    <xf numFmtId="0" fontId="23" fillId="0" borderId="0" applyNumberFormat="0" applyFill="0" applyBorder="0" applyAlignment="0" applyProtection="0"/>
    <xf numFmtId="0" fontId="24" fillId="0" borderId="34" applyNumberFormat="0" applyFill="0" applyAlignment="0" applyProtection="0"/>
    <xf numFmtId="0" fontId="25" fillId="0" borderId="35" applyNumberFormat="0" applyFill="0" applyAlignment="0" applyProtection="0"/>
    <xf numFmtId="0" fontId="26" fillId="0" borderId="36" applyNumberFormat="0" applyFill="0" applyAlignment="0" applyProtection="0"/>
    <xf numFmtId="0" fontId="26" fillId="0" borderId="0" applyNumberFormat="0" applyFill="0" applyBorder="0" applyAlignment="0" applyProtection="0"/>
    <xf numFmtId="0" fontId="27" fillId="10" borderId="37"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 fillId="0" borderId="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 fillId="0" borderId="0"/>
    <xf numFmtId="167" fontId="5" fillId="0" borderId="0" applyFont="0" applyFill="0" applyBorder="0" applyAlignment="0" applyProtection="0"/>
    <xf numFmtId="169" fontId="5" fillId="0" borderId="0" applyFont="0" applyFill="0" applyBorder="0" applyAlignment="0" applyProtection="0"/>
    <xf numFmtId="167" fontId="5" fillId="0" borderId="0" applyFont="0" applyFill="0" applyBorder="0" applyAlignment="0" applyProtection="0"/>
    <xf numFmtId="0" fontId="28" fillId="0" borderId="0" applyNumberFormat="0" applyFill="0" applyBorder="0" applyAlignment="0" applyProtection="0"/>
    <xf numFmtId="0" fontId="100" fillId="0" borderId="0"/>
    <xf numFmtId="44" fontId="140" fillId="0" borderId="0" applyFont="0" applyFill="0" applyBorder="0" applyAlignment="0" applyProtection="0"/>
  </cellStyleXfs>
  <cellXfs count="1519">
    <xf numFmtId="0" fontId="0" fillId="0" borderId="0" xfId="0"/>
    <xf numFmtId="0" fontId="10" fillId="2" borderId="1" xfId="0" applyFont="1" applyFill="1" applyBorder="1" applyAlignment="1">
      <alignment horizontal="center"/>
    </xf>
    <xf numFmtId="0" fontId="11" fillId="2" borderId="2" xfId="0" applyFont="1" applyFill="1" applyBorder="1" applyAlignment="1">
      <alignment horizontal="center"/>
    </xf>
    <xf numFmtId="0" fontId="9" fillId="2" borderId="9" xfId="0" applyFont="1" applyFill="1" applyBorder="1" applyAlignment="1">
      <alignment horizontal="center"/>
    </xf>
    <xf numFmtId="0" fontId="9" fillId="2" borderId="10" xfId="0" applyFont="1" applyFill="1" applyBorder="1" applyAlignment="1">
      <alignment horizontal="center"/>
    </xf>
    <xf numFmtId="14" fontId="11" fillId="2" borderId="6" xfId="0" applyNumberFormat="1" applyFont="1" applyFill="1" applyBorder="1"/>
    <xf numFmtId="14" fontId="11" fillId="2" borderId="7" xfId="0" applyNumberFormat="1" applyFont="1" applyFill="1" applyBorder="1"/>
    <xf numFmtId="49" fontId="0" fillId="2" borderId="11" xfId="0" applyNumberFormat="1" applyFill="1" applyBorder="1" applyAlignment="1">
      <alignment horizontal="center"/>
    </xf>
    <xf numFmtId="1" fontId="12" fillId="3" borderId="15" xfId="0" applyNumberFormat="1" applyFont="1" applyFill="1" applyBorder="1" applyAlignment="1">
      <alignment horizontal="center"/>
    </xf>
    <xf numFmtId="1" fontId="12" fillId="3" borderId="3" xfId="0" applyNumberFormat="1" applyFont="1" applyFill="1" applyBorder="1" applyAlignment="1">
      <alignment horizontal="center"/>
    </xf>
    <xf numFmtId="1" fontId="12" fillId="3" borderId="16" xfId="0" applyNumberFormat="1" applyFont="1" applyFill="1" applyBorder="1" applyAlignment="1">
      <alignment horizontal="center"/>
    </xf>
    <xf numFmtId="0" fontId="12" fillId="3" borderId="20" xfId="0" applyFont="1" applyFill="1" applyBorder="1" applyAlignment="1">
      <alignment horizontal="center" wrapText="1"/>
    </xf>
    <xf numFmtId="1" fontId="14" fillId="0" borderId="9" xfId="0" applyNumberFormat="1" applyFont="1" applyBorder="1" applyAlignment="1" applyProtection="1">
      <alignment horizontal="center"/>
      <protection locked="0"/>
    </xf>
    <xf numFmtId="0" fontId="12" fillId="3" borderId="22" xfId="0" applyFont="1" applyFill="1" applyBorder="1" applyAlignment="1">
      <alignment horizontal="center" wrapText="1"/>
    </xf>
    <xf numFmtId="1" fontId="14" fillId="0" borderId="23" xfId="0" applyNumberFormat="1" applyFont="1" applyBorder="1" applyAlignment="1" applyProtection="1">
      <alignment horizontal="center"/>
      <protection locked="0"/>
    </xf>
    <xf numFmtId="0" fontId="12" fillId="3" borderId="24" xfId="0" applyFont="1" applyFill="1" applyBorder="1" applyAlignment="1">
      <alignment horizontal="center" wrapText="1"/>
    </xf>
    <xf numFmtId="0" fontId="15" fillId="0" borderId="11" xfId="0" applyFont="1" applyBorder="1" applyAlignment="1">
      <alignment horizontal="center" wrapText="1"/>
    </xf>
    <xf numFmtId="1" fontId="16" fillId="0" borderId="11" xfId="0" applyNumberFormat="1" applyFont="1" applyBorder="1" applyAlignment="1">
      <alignment horizontal="center"/>
    </xf>
    <xf numFmtId="0" fontId="12" fillId="3" borderId="6" xfId="0" applyFont="1" applyFill="1" applyBorder="1" applyAlignment="1">
      <alignment horizontal="center" wrapText="1"/>
    </xf>
    <xf numFmtId="0" fontId="12" fillId="3" borderId="4" xfId="0" applyFont="1" applyFill="1" applyBorder="1" applyAlignment="1">
      <alignment horizontal="center" wrapText="1"/>
    </xf>
    <xf numFmtId="0" fontId="15" fillId="0" borderId="26" xfId="0" applyFont="1" applyBorder="1" applyAlignment="1" applyProtection="1">
      <alignment horizontal="center" wrapText="1"/>
    </xf>
    <xf numFmtId="0" fontId="15" fillId="0" borderId="26" xfId="0" applyFont="1" applyBorder="1" applyAlignment="1">
      <alignment horizontal="center" wrapText="1"/>
    </xf>
    <xf numFmtId="1" fontId="14" fillId="0" borderId="21" xfId="0" applyNumberFormat="1" applyFont="1" applyBorder="1" applyAlignment="1" applyProtection="1">
      <alignment horizontal="center"/>
      <protection locked="0"/>
    </xf>
    <xf numFmtId="1" fontId="0" fillId="0" borderId="29" xfId="0" applyNumberFormat="1" applyFill="1" applyBorder="1" applyAlignment="1">
      <alignment horizontal="center"/>
    </xf>
    <xf numFmtId="1" fontId="16" fillId="0" borderId="25" xfId="0" applyNumberFormat="1" applyFont="1" applyBorder="1" applyAlignment="1">
      <alignment horizontal="center"/>
    </xf>
    <xf numFmtId="1" fontId="14" fillId="0" borderId="29" xfId="0" applyNumberFormat="1" applyFont="1" applyFill="1" applyBorder="1" applyAlignment="1">
      <alignment horizontal="center"/>
    </xf>
    <xf numFmtId="170" fontId="0" fillId="0" borderId="0" xfId="0" applyNumberFormat="1"/>
    <xf numFmtId="1" fontId="14" fillId="0" borderId="30" xfId="0" applyNumberFormat="1" applyFont="1" applyFill="1" applyBorder="1" applyAlignment="1">
      <alignment horizontal="center"/>
    </xf>
    <xf numFmtId="0" fontId="0" fillId="0" borderId="0" xfId="0" applyBorder="1"/>
    <xf numFmtId="1" fontId="0" fillId="0" borderId="30" xfId="0" applyNumberFormat="1" applyFill="1" applyBorder="1" applyAlignment="1">
      <alignment horizontal="center"/>
    </xf>
    <xf numFmtId="169" fontId="0" fillId="0" borderId="0" xfId="0" applyNumberFormat="1" applyFill="1" applyBorder="1" applyAlignment="1">
      <alignment horizontal="center"/>
    </xf>
    <xf numFmtId="169" fontId="0" fillId="0" borderId="0" xfId="0" applyNumberFormat="1"/>
    <xf numFmtId="167" fontId="0" fillId="0" borderId="0" xfId="0" applyNumberFormat="1"/>
    <xf numFmtId="0" fontId="12" fillId="4" borderId="6" xfId="0" applyFont="1" applyFill="1" applyBorder="1" applyAlignment="1">
      <alignment horizontal="center" wrapText="1"/>
    </xf>
    <xf numFmtId="0" fontId="15" fillId="6" borderId="31" xfId="0" applyFont="1" applyFill="1" applyBorder="1" applyAlignment="1">
      <alignment horizontal="center" wrapText="1"/>
    </xf>
    <xf numFmtId="1" fontId="0" fillId="6" borderId="25" xfId="0" applyNumberFormat="1" applyFill="1" applyBorder="1" applyAlignment="1">
      <alignment horizontal="center"/>
    </xf>
    <xf numFmtId="1" fontId="0" fillId="6" borderId="32" xfId="0" applyNumberFormat="1" applyFill="1" applyBorder="1" applyAlignment="1">
      <alignment horizontal="center"/>
    </xf>
    <xf numFmtId="0" fontId="9" fillId="0" borderId="0" xfId="0" applyFont="1"/>
    <xf numFmtId="10" fontId="18" fillId="0" borderId="0" xfId="0" applyNumberFormat="1" applyFont="1"/>
    <xf numFmtId="1" fontId="9" fillId="0" borderId="0" xfId="0" applyNumberFormat="1" applyFont="1" applyAlignment="1">
      <alignment horizontal="center"/>
    </xf>
    <xf numFmtId="1" fontId="9" fillId="0" borderId="39" xfId="0" applyNumberFormat="1" applyFont="1" applyBorder="1" applyAlignment="1">
      <alignment horizontal="center"/>
    </xf>
    <xf numFmtId="171" fontId="9" fillId="0" borderId="9" xfId="0" applyNumberFormat="1" applyFont="1" applyFill="1" applyBorder="1"/>
    <xf numFmtId="171" fontId="9" fillId="0" borderId="22" xfId="0" applyNumberFormat="1" applyFont="1" applyBorder="1"/>
    <xf numFmtId="171" fontId="9" fillId="0" borderId="23" xfId="0" applyNumberFormat="1" applyFont="1" applyFill="1" applyBorder="1"/>
    <xf numFmtId="171" fontId="9" fillId="0" borderId="24" xfId="0" applyNumberFormat="1" applyFont="1" applyBorder="1"/>
    <xf numFmtId="171" fontId="9" fillId="0" borderId="11" xfId="0" applyNumberFormat="1" applyFont="1" applyFill="1" applyBorder="1"/>
    <xf numFmtId="1" fontId="0" fillId="7" borderId="42" xfId="0" applyNumberFormat="1" applyFill="1" applyBorder="1" applyAlignment="1">
      <alignment horizontal="center" wrapText="1"/>
    </xf>
    <xf numFmtId="171" fontId="9" fillId="0" borderId="43" xfId="0" applyNumberFormat="1" applyFont="1" applyBorder="1" applyAlignment="1">
      <alignment wrapText="1"/>
    </xf>
    <xf numFmtId="171" fontId="0" fillId="7" borderId="45" xfId="0" applyNumberFormat="1" applyFill="1" applyBorder="1" applyAlignment="1">
      <alignment wrapText="1"/>
    </xf>
    <xf numFmtId="171" fontId="9" fillId="0" borderId="46" xfId="0" applyNumberFormat="1" applyFont="1" applyBorder="1" applyAlignment="1">
      <alignment wrapText="1"/>
    </xf>
    <xf numFmtId="171" fontId="0" fillId="7" borderId="22" xfId="0" applyNumberFormat="1" applyFill="1" applyBorder="1" applyAlignment="1">
      <alignment wrapText="1"/>
    </xf>
    <xf numFmtId="171" fontId="9" fillId="0" borderId="23" xfId="0" applyNumberFormat="1" applyFont="1" applyBorder="1" applyAlignment="1">
      <alignment wrapText="1"/>
    </xf>
    <xf numFmtId="171" fontId="9" fillId="7" borderId="45" xfId="0" applyNumberFormat="1" applyFont="1" applyFill="1" applyBorder="1"/>
    <xf numFmtId="171" fontId="9" fillId="0" borderId="46" xfId="0" applyNumberFormat="1" applyFont="1" applyFill="1" applyBorder="1"/>
    <xf numFmtId="171" fontId="9" fillId="7" borderId="24" xfId="0" applyNumberFormat="1" applyFont="1" applyFill="1" applyBorder="1"/>
    <xf numFmtId="1" fontId="0" fillId="7" borderId="20" xfId="0" applyNumberFormat="1" applyFill="1" applyBorder="1" applyAlignment="1">
      <alignment horizontal="center" wrapText="1"/>
    </xf>
    <xf numFmtId="171" fontId="9" fillId="0" borderId="21" xfId="0" applyNumberFormat="1" applyFont="1" applyBorder="1" applyAlignment="1">
      <alignment wrapText="1"/>
    </xf>
    <xf numFmtId="0" fontId="0" fillId="0" borderId="0" xfId="0" applyFill="1"/>
    <xf numFmtId="0" fontId="9" fillId="0" borderId="0" xfId="0" applyFont="1" applyFill="1" applyBorder="1"/>
    <xf numFmtId="37" fontId="16" fillId="0" borderId="25" xfId="0" applyNumberFormat="1" applyFont="1" applyBorder="1" applyAlignment="1">
      <alignment horizontal="center"/>
    </xf>
    <xf numFmtId="37" fontId="14" fillId="0" borderId="9" xfId="0" applyNumberFormat="1" applyFont="1" applyBorder="1" applyAlignment="1" applyProtection="1">
      <alignment horizontal="center"/>
      <protection locked="0"/>
    </xf>
    <xf numFmtId="37" fontId="14" fillId="0" borderId="23" xfId="0" applyNumberFormat="1" applyFont="1" applyBorder="1" applyAlignment="1" applyProtection="1">
      <alignment horizontal="center"/>
      <protection locked="0"/>
    </xf>
    <xf numFmtId="1" fontId="18" fillId="0" borderId="0" xfId="0" applyNumberFormat="1" applyFont="1" applyAlignment="1">
      <alignment horizontal="center"/>
    </xf>
    <xf numFmtId="1" fontId="0" fillId="0" borderId="0" xfId="0" applyNumberFormat="1" applyAlignment="1">
      <alignment horizontal="center"/>
    </xf>
    <xf numFmtId="0" fontId="0" fillId="0" borderId="0" xfId="0" applyNumberFormat="1"/>
    <xf numFmtId="1" fontId="36" fillId="0" borderId="29" xfId="0" applyNumberFormat="1" applyFont="1" applyBorder="1" applyAlignment="1" applyProtection="1">
      <alignment horizontal="center"/>
    </xf>
    <xf numFmtId="1" fontId="9" fillId="0" borderId="10" xfId="0" applyNumberFormat="1" applyFont="1" applyBorder="1" applyAlignment="1" applyProtection="1">
      <alignment horizontal="center"/>
    </xf>
    <xf numFmtId="1" fontId="9" fillId="0" borderId="40" xfId="0" applyNumberFormat="1" applyFont="1" applyBorder="1" applyAlignment="1" applyProtection="1">
      <alignment horizontal="center"/>
    </xf>
    <xf numFmtId="1" fontId="36" fillId="0" borderId="38" xfId="0" applyNumberFormat="1" applyFont="1" applyBorder="1" applyAlignment="1" applyProtection="1">
      <alignment horizontal="center"/>
    </xf>
    <xf numFmtId="1" fontId="36" fillId="0" borderId="43" xfId="0" applyNumberFormat="1" applyFont="1" applyBorder="1" applyAlignment="1" applyProtection="1">
      <alignment horizontal="center"/>
    </xf>
    <xf numFmtId="1" fontId="36" fillId="0" borderId="23" xfId="0" applyNumberFormat="1" applyFont="1" applyBorder="1" applyAlignment="1" applyProtection="1">
      <alignment horizontal="center"/>
    </xf>
    <xf numFmtId="1" fontId="14" fillId="2" borderId="25" xfId="0" applyNumberFormat="1" applyFont="1" applyFill="1" applyBorder="1" applyAlignment="1" applyProtection="1">
      <alignment horizontal="center"/>
      <protection locked="0"/>
    </xf>
    <xf numFmtId="1" fontId="14" fillId="2" borderId="32" xfId="0" applyNumberFormat="1" applyFont="1" applyFill="1" applyBorder="1" applyAlignment="1" applyProtection="1">
      <alignment horizontal="center"/>
      <protection locked="0"/>
    </xf>
    <xf numFmtId="1" fontId="14" fillId="2" borderId="48" xfId="0" applyNumberFormat="1" applyFont="1" applyFill="1" applyBorder="1" applyAlignment="1" applyProtection="1">
      <alignment horizontal="center"/>
      <protection locked="0"/>
    </xf>
    <xf numFmtId="1" fontId="34" fillId="6" borderId="17" xfId="0" applyNumberFormat="1" applyFont="1" applyFill="1" applyBorder="1" applyAlignment="1">
      <alignment horizontal="center"/>
    </xf>
    <xf numFmtId="1" fontId="34" fillId="6" borderId="18" xfId="0" applyNumberFormat="1" applyFont="1" applyFill="1" applyBorder="1" applyAlignment="1">
      <alignment horizontal="center"/>
    </xf>
    <xf numFmtId="1" fontId="34" fillId="6" borderId="19" xfId="0" applyNumberFormat="1" applyFont="1" applyFill="1" applyBorder="1" applyAlignment="1">
      <alignment horizontal="center"/>
    </xf>
    <xf numFmtId="170" fontId="9" fillId="2" borderId="18" xfId="0" applyNumberFormat="1" applyFont="1" applyFill="1" applyBorder="1" applyAlignment="1">
      <alignment horizontal="center"/>
    </xf>
    <xf numFmtId="170" fontId="9" fillId="2" borderId="19" xfId="0" applyNumberFormat="1" applyFont="1" applyFill="1" applyBorder="1" applyAlignment="1">
      <alignment horizontal="center"/>
    </xf>
    <xf numFmtId="168" fontId="9" fillId="2" borderId="18" xfId="0" applyNumberFormat="1" applyFont="1" applyFill="1" applyBorder="1" applyAlignment="1">
      <alignment horizontal="center"/>
    </xf>
    <xf numFmtId="170" fontId="0" fillId="2" borderId="18" xfId="0" applyNumberFormat="1" applyFill="1" applyBorder="1" applyAlignment="1">
      <alignment horizontal="center"/>
    </xf>
    <xf numFmtId="170" fontId="0" fillId="2" borderId="19" xfId="0" applyNumberFormat="1" applyFill="1" applyBorder="1" applyAlignment="1">
      <alignment horizontal="center"/>
    </xf>
    <xf numFmtId="3" fontId="9" fillId="2" borderId="2" xfId="0" applyNumberFormat="1" applyFont="1" applyFill="1" applyBorder="1" applyAlignment="1">
      <alignment horizontal="center"/>
    </xf>
    <xf numFmtId="4" fontId="9" fillId="2" borderId="7" xfId="0" applyNumberFormat="1" applyFont="1" applyFill="1" applyBorder="1" applyAlignment="1">
      <alignment horizontal="center"/>
    </xf>
    <xf numFmtId="0" fontId="0" fillId="2" borderId="8" xfId="0" applyFill="1" applyBorder="1" applyAlignment="1"/>
    <xf numFmtId="0" fontId="9" fillId="2" borderId="2" xfId="0" applyFont="1" applyFill="1" applyBorder="1"/>
    <xf numFmtId="0" fontId="9" fillId="2" borderId="7" xfId="0" applyFont="1" applyFill="1" applyBorder="1"/>
    <xf numFmtId="0" fontId="0" fillId="2" borderId="1" xfId="0" applyFill="1" applyBorder="1"/>
    <xf numFmtId="0" fontId="0" fillId="2" borderId="6" xfId="0" applyFill="1" applyBorder="1"/>
    <xf numFmtId="0" fontId="10" fillId="2" borderId="1" xfId="0" applyFont="1" applyFill="1" applyBorder="1" applyAlignment="1" applyProtection="1">
      <alignment horizontal="center"/>
    </xf>
    <xf numFmtId="0" fontId="11" fillId="2" borderId="2" xfId="0" applyFont="1" applyFill="1" applyBorder="1" applyAlignment="1" applyProtection="1">
      <alignment horizontal="center"/>
    </xf>
    <xf numFmtId="0" fontId="9" fillId="2" borderId="9" xfId="0" applyFont="1" applyFill="1" applyBorder="1" applyAlignment="1" applyProtection="1">
      <alignment horizontal="center"/>
    </xf>
    <xf numFmtId="0" fontId="9" fillId="2" borderId="10" xfId="0" applyFont="1" applyFill="1" applyBorder="1" applyAlignment="1" applyProtection="1">
      <alignment horizontal="center"/>
    </xf>
    <xf numFmtId="14" fontId="11" fillId="2" borderId="6" xfId="0" applyNumberFormat="1" applyFont="1" applyFill="1" applyBorder="1" applyProtection="1"/>
    <xf numFmtId="14" fontId="11" fillId="2" borderId="7" xfId="0" applyNumberFormat="1" applyFont="1" applyFill="1" applyBorder="1" applyProtection="1"/>
    <xf numFmtId="49" fontId="0" fillId="2" borderId="11" xfId="0" applyNumberFormat="1" applyFill="1" applyBorder="1" applyAlignment="1" applyProtection="1">
      <alignment horizontal="center"/>
    </xf>
    <xf numFmtId="0" fontId="0" fillId="2" borderId="12" xfId="0" applyNumberFormat="1" applyFill="1" applyBorder="1" applyAlignment="1" applyProtection="1">
      <alignment horizontal="center"/>
    </xf>
    <xf numFmtId="1" fontId="32" fillId="3" borderId="16" xfId="0" applyNumberFormat="1" applyFont="1" applyFill="1" applyBorder="1" applyAlignment="1" applyProtection="1">
      <alignment horizontal="center"/>
    </xf>
    <xf numFmtId="1" fontId="12" fillId="3" borderId="5" xfId="0" applyNumberFormat="1" applyFont="1" applyFill="1" applyBorder="1" applyAlignment="1" applyProtection="1">
      <alignment horizontal="center"/>
    </xf>
    <xf numFmtId="0" fontId="12" fillId="3" borderId="20" xfId="0" applyFont="1" applyFill="1" applyBorder="1" applyAlignment="1" applyProtection="1">
      <alignment horizontal="center" wrapText="1"/>
    </xf>
    <xf numFmtId="0" fontId="30" fillId="0" borderId="21" xfId="0" applyFont="1" applyBorder="1" applyAlignment="1" applyProtection="1">
      <alignment horizontal="center" wrapText="1"/>
    </xf>
    <xf numFmtId="0" fontId="12" fillId="3" borderId="22" xfId="0" applyFont="1" applyFill="1" applyBorder="1" applyAlignment="1" applyProtection="1">
      <alignment horizontal="center" wrapText="1"/>
    </xf>
    <xf numFmtId="0" fontId="30" fillId="0" borderId="23" xfId="0" applyFont="1" applyBorder="1" applyAlignment="1" applyProtection="1">
      <alignment horizontal="center" wrapText="1"/>
    </xf>
    <xf numFmtId="0" fontId="12" fillId="3" borderId="4" xfId="0" applyFont="1" applyFill="1" applyBorder="1" applyAlignment="1" applyProtection="1">
      <alignment horizontal="center" wrapText="1"/>
    </xf>
    <xf numFmtId="0" fontId="30" fillId="0" borderId="16" xfId="0" applyFont="1" applyBorder="1" applyAlignment="1" applyProtection="1">
      <alignment horizontal="center" wrapText="1"/>
    </xf>
    <xf numFmtId="0" fontId="0" fillId="0" borderId="0" xfId="0" applyProtection="1"/>
    <xf numFmtId="1" fontId="40" fillId="6" borderId="13" xfId="0" applyNumberFormat="1" applyFont="1" applyFill="1" applyBorder="1" applyAlignment="1" applyProtection="1">
      <alignment horizontal="center"/>
    </xf>
    <xf numFmtId="10" fontId="40" fillId="6" borderId="17" xfId="0" applyNumberFormat="1" applyFont="1" applyFill="1" applyBorder="1" applyAlignment="1" applyProtection="1">
      <alignment horizontal="center"/>
    </xf>
    <xf numFmtId="10" fontId="40" fillId="6" borderId="18" xfId="0" applyNumberFormat="1" applyFont="1" applyFill="1" applyBorder="1" applyAlignment="1" applyProtection="1">
      <alignment horizontal="center"/>
    </xf>
    <xf numFmtId="10" fontId="40" fillId="6" borderId="19" xfId="0" applyNumberFormat="1" applyFont="1" applyFill="1" applyBorder="1" applyAlignment="1" applyProtection="1">
      <alignment horizontal="center"/>
    </xf>
    <xf numFmtId="1" fontId="42" fillId="6" borderId="18" xfId="0" applyNumberFormat="1" applyFont="1" applyFill="1" applyBorder="1" applyAlignment="1" applyProtection="1">
      <alignment horizontal="center"/>
    </xf>
    <xf numFmtId="1" fontId="42" fillId="6" borderId="19" xfId="0" applyNumberFormat="1" applyFont="1" applyFill="1" applyBorder="1" applyAlignment="1" applyProtection="1">
      <alignment horizontal="center"/>
    </xf>
    <xf numFmtId="174" fontId="40" fillId="6" borderId="27" xfId="0" applyNumberFormat="1" applyFont="1" applyFill="1" applyBorder="1" applyAlignment="1" applyProtection="1">
      <alignment horizontal="center"/>
    </xf>
    <xf numFmtId="174" fontId="40" fillId="6" borderId="28" xfId="0" applyNumberFormat="1" applyFont="1" applyFill="1" applyBorder="1" applyAlignment="1" applyProtection="1">
      <alignment horizontal="center"/>
    </xf>
    <xf numFmtId="175" fontId="40" fillId="6" borderId="27" xfId="0" applyNumberFormat="1" applyFont="1" applyFill="1" applyBorder="1" applyAlignment="1" applyProtection="1">
      <alignment horizontal="center"/>
    </xf>
    <xf numFmtId="175" fontId="40" fillId="6" borderId="28" xfId="0" applyNumberFormat="1" applyFont="1" applyFill="1" applyBorder="1" applyAlignment="1" applyProtection="1">
      <alignment horizontal="center"/>
    </xf>
    <xf numFmtId="1" fontId="43" fillId="12" borderId="48" xfId="0" applyNumberFormat="1" applyFont="1" applyFill="1" applyBorder="1" applyAlignment="1" applyProtection="1">
      <alignment horizontal="center"/>
    </xf>
    <xf numFmtId="1" fontId="31" fillId="3" borderId="17" xfId="0" applyNumberFormat="1" applyFont="1" applyFill="1" applyBorder="1" applyAlignment="1" applyProtection="1">
      <alignment horizontal="center"/>
    </xf>
    <xf numFmtId="1" fontId="34" fillId="3" borderId="17" xfId="0" applyNumberFormat="1" applyFont="1" applyFill="1" applyBorder="1" applyAlignment="1" applyProtection="1">
      <alignment horizontal="center"/>
    </xf>
    <xf numFmtId="1" fontId="13" fillId="3" borderId="17" xfId="0" applyNumberFormat="1" applyFont="1" applyFill="1" applyBorder="1" applyAlignment="1" applyProtection="1">
      <alignment horizontal="center"/>
    </xf>
    <xf numFmtId="1" fontId="13" fillId="3" borderId="28" xfId="0" applyNumberFormat="1" applyFont="1" applyFill="1" applyBorder="1" applyAlignment="1" applyProtection="1">
      <alignment horizontal="center"/>
    </xf>
    <xf numFmtId="0" fontId="12" fillId="3" borderId="13" xfId="0" applyFont="1" applyFill="1" applyBorder="1" applyAlignment="1">
      <alignment horizontal="center" wrapText="1"/>
    </xf>
    <xf numFmtId="170" fontId="9" fillId="2" borderId="13" xfId="0" applyNumberFormat="1" applyFont="1" applyFill="1" applyBorder="1" applyAlignment="1">
      <alignment horizontal="center"/>
    </xf>
    <xf numFmtId="170" fontId="9" fillId="2" borderId="17" xfId="0" applyNumberFormat="1" applyFont="1" applyFill="1" applyBorder="1" applyAlignment="1">
      <alignment horizontal="center"/>
    </xf>
    <xf numFmtId="171" fontId="9" fillId="2" borderId="13" xfId="0" applyNumberFormat="1" applyFont="1" applyFill="1" applyBorder="1" applyAlignment="1">
      <alignment horizontal="center"/>
    </xf>
    <xf numFmtId="171" fontId="9" fillId="2" borderId="17" xfId="0" applyNumberFormat="1" applyFont="1" applyFill="1" applyBorder="1" applyAlignment="1">
      <alignment horizontal="center"/>
    </xf>
    <xf numFmtId="37" fontId="16" fillId="0" borderId="11" xfId="0" applyNumberFormat="1" applyFont="1" applyBorder="1" applyAlignment="1">
      <alignment horizontal="center"/>
    </xf>
    <xf numFmtId="0" fontId="5" fillId="0" borderId="0" xfId="0" applyFont="1"/>
    <xf numFmtId="1" fontId="9" fillId="13" borderId="13" xfId="0" applyNumberFormat="1" applyFont="1" applyFill="1" applyBorder="1" applyAlignment="1">
      <alignment horizontal="center"/>
    </xf>
    <xf numFmtId="171" fontId="9" fillId="13" borderId="17" xfId="0" applyNumberFormat="1" applyFont="1" applyFill="1" applyBorder="1" applyAlignment="1">
      <alignment horizontal="center"/>
    </xf>
    <xf numFmtId="170" fontId="9" fillId="13" borderId="18" xfId="0" applyNumberFormat="1" applyFont="1" applyFill="1" applyBorder="1" applyAlignment="1">
      <alignment horizontal="center"/>
    </xf>
    <xf numFmtId="170" fontId="9" fillId="13" borderId="19" xfId="0" applyNumberFormat="1" applyFont="1" applyFill="1" applyBorder="1" applyAlignment="1">
      <alignment horizontal="center"/>
    </xf>
    <xf numFmtId="170" fontId="9" fillId="13" borderId="17" xfId="0" applyNumberFormat="1" applyFont="1" applyFill="1" applyBorder="1" applyAlignment="1">
      <alignment horizontal="left"/>
    </xf>
    <xf numFmtId="170" fontId="45" fillId="0" borderId="25" xfId="0" applyNumberFormat="1" applyFont="1" applyFill="1" applyBorder="1" applyAlignment="1" applyProtection="1">
      <alignment horizontal="center"/>
      <protection locked="0"/>
    </xf>
    <xf numFmtId="170" fontId="46" fillId="0" borderId="21" xfId="0" applyNumberFormat="1" applyFont="1" applyFill="1" applyBorder="1" applyAlignment="1" applyProtection="1">
      <alignment horizontal="center"/>
      <protection locked="0"/>
    </xf>
    <xf numFmtId="170" fontId="46" fillId="0" borderId="9" xfId="0" applyNumberFormat="1" applyFont="1" applyFill="1" applyBorder="1" applyAlignment="1" applyProtection="1">
      <alignment horizontal="center"/>
      <protection locked="0"/>
    </xf>
    <xf numFmtId="170" fontId="46" fillId="0" borderId="10" xfId="0" applyNumberFormat="1" applyFont="1" applyFill="1" applyBorder="1" applyAlignment="1" applyProtection="1">
      <alignment horizontal="center"/>
      <protection locked="0"/>
    </xf>
    <xf numFmtId="170" fontId="45" fillId="0" borderId="21" xfId="0" applyNumberFormat="1" applyFont="1" applyFill="1" applyBorder="1" applyAlignment="1" applyProtection="1">
      <alignment horizontal="center"/>
      <protection locked="0"/>
    </xf>
    <xf numFmtId="170" fontId="46" fillId="0" borderId="40" xfId="0" applyNumberFormat="1" applyFont="1" applyFill="1" applyBorder="1" applyAlignment="1" applyProtection="1">
      <alignment horizontal="center"/>
      <protection locked="0"/>
    </xf>
    <xf numFmtId="170" fontId="46" fillId="0" borderId="25" xfId="0" applyNumberFormat="1" applyFont="1" applyFill="1" applyBorder="1" applyAlignment="1" applyProtection="1">
      <alignment horizontal="center"/>
      <protection locked="0"/>
    </xf>
    <xf numFmtId="170" fontId="46" fillId="0" borderId="11" xfId="0" applyNumberFormat="1" applyFont="1" applyFill="1" applyBorder="1" applyAlignment="1" applyProtection="1">
      <alignment horizontal="center"/>
      <protection locked="0"/>
    </xf>
    <xf numFmtId="170" fontId="45" fillId="0" borderId="9" xfId="0" applyNumberFormat="1" applyFont="1" applyFill="1" applyBorder="1" applyAlignment="1" applyProtection="1">
      <alignment horizontal="center"/>
      <protection locked="0"/>
    </xf>
    <xf numFmtId="170" fontId="46" fillId="0" borderId="23" xfId="0" applyNumberFormat="1" applyFont="1" applyFill="1" applyBorder="1" applyAlignment="1" applyProtection="1">
      <alignment horizontal="center"/>
      <protection locked="0"/>
    </xf>
    <xf numFmtId="170" fontId="46" fillId="0" borderId="41" xfId="0" applyNumberFormat="1" applyFont="1" applyFill="1" applyBorder="1" applyAlignment="1" applyProtection="1">
      <alignment horizontal="center"/>
      <protection locked="0"/>
    </xf>
    <xf numFmtId="170" fontId="45" fillId="0" borderId="11" xfId="0" applyNumberFormat="1" applyFont="1" applyFill="1" applyBorder="1" applyAlignment="1" applyProtection="1">
      <alignment horizontal="center"/>
      <protection locked="0"/>
    </xf>
    <xf numFmtId="170" fontId="46" fillId="0" borderId="43" xfId="0" applyNumberFormat="1" applyFont="1" applyFill="1" applyBorder="1" applyAlignment="1" applyProtection="1">
      <alignment horizontal="center" wrapText="1"/>
      <protection locked="0"/>
    </xf>
    <xf numFmtId="170" fontId="46" fillId="0" borderId="46" xfId="0" applyNumberFormat="1" applyFont="1" applyFill="1" applyBorder="1" applyAlignment="1" applyProtection="1">
      <alignment horizontal="center" wrapText="1"/>
      <protection locked="0"/>
    </xf>
    <xf numFmtId="170" fontId="46" fillId="0" borderId="47" xfId="0" applyNumberFormat="1" applyFont="1" applyFill="1" applyBorder="1" applyAlignment="1" applyProtection="1">
      <alignment horizontal="center" wrapText="1"/>
      <protection locked="0"/>
    </xf>
    <xf numFmtId="170" fontId="46" fillId="0" borderId="46" xfId="0" applyNumberFormat="1" applyFont="1" applyFill="1" applyBorder="1" applyAlignment="1" applyProtection="1">
      <alignment horizontal="center"/>
      <protection locked="0"/>
    </xf>
    <xf numFmtId="170" fontId="46" fillId="0" borderId="11" xfId="0" applyNumberFormat="1" applyFont="1" applyFill="1" applyBorder="1" applyAlignment="1" applyProtection="1">
      <alignment horizontal="center" wrapText="1"/>
      <protection locked="0"/>
    </xf>
    <xf numFmtId="170" fontId="45" fillId="0" borderId="12" xfId="0" applyNumberFormat="1" applyFont="1" applyFill="1" applyBorder="1" applyAlignment="1" applyProtection="1">
      <alignment horizontal="center" wrapText="1"/>
      <protection locked="0"/>
    </xf>
    <xf numFmtId="170" fontId="46" fillId="0" borderId="21" xfId="0" applyNumberFormat="1" applyFont="1" applyFill="1" applyBorder="1" applyAlignment="1" applyProtection="1">
      <alignment horizontal="center" wrapText="1"/>
      <protection locked="0"/>
    </xf>
    <xf numFmtId="170" fontId="46" fillId="0" borderId="40" xfId="0" applyNumberFormat="1" applyFont="1" applyFill="1" applyBorder="1" applyAlignment="1" applyProtection="1">
      <alignment horizontal="center" wrapText="1"/>
      <protection locked="0"/>
    </xf>
    <xf numFmtId="170" fontId="46" fillId="0" borderId="23" xfId="0" applyNumberFormat="1" applyFont="1" applyFill="1" applyBorder="1" applyAlignment="1" applyProtection="1">
      <alignment horizontal="center" wrapText="1"/>
      <protection locked="0"/>
    </xf>
    <xf numFmtId="170" fontId="45" fillId="0" borderId="46" xfId="0" applyNumberFormat="1" applyFont="1" applyFill="1" applyBorder="1" applyAlignment="1" applyProtection="1">
      <alignment horizontal="center" wrapText="1"/>
      <protection locked="0"/>
    </xf>
    <xf numFmtId="170" fontId="46" fillId="0" borderId="41" xfId="0" applyNumberFormat="1" applyFont="1" applyFill="1" applyBorder="1" applyAlignment="1" applyProtection="1">
      <alignment horizontal="center" wrapText="1"/>
      <protection locked="0"/>
    </xf>
    <xf numFmtId="170" fontId="46" fillId="0" borderId="47" xfId="0" applyNumberFormat="1" applyFont="1" applyFill="1" applyBorder="1" applyAlignment="1" applyProtection="1">
      <alignment horizontal="center"/>
      <protection locked="0"/>
    </xf>
    <xf numFmtId="170" fontId="46" fillId="0" borderId="12" xfId="0" applyNumberFormat="1" applyFont="1" applyFill="1" applyBorder="1" applyAlignment="1" applyProtection="1">
      <alignment horizontal="center"/>
      <protection locked="0"/>
    </xf>
    <xf numFmtId="170" fontId="46" fillId="0" borderId="29" xfId="0" applyNumberFormat="1" applyFont="1" applyFill="1" applyBorder="1" applyAlignment="1" applyProtection="1">
      <alignment horizontal="center"/>
      <protection locked="0"/>
    </xf>
    <xf numFmtId="170" fontId="46" fillId="0" borderId="44" xfId="0" applyNumberFormat="1" applyFont="1" applyFill="1" applyBorder="1" applyAlignment="1" applyProtection="1">
      <alignment horizontal="center" wrapText="1"/>
      <protection locked="0"/>
    </xf>
    <xf numFmtId="170" fontId="5" fillId="13" borderId="18" xfId="0" applyNumberFormat="1" applyFont="1" applyFill="1" applyBorder="1" applyAlignment="1">
      <alignment horizontal="center"/>
    </xf>
    <xf numFmtId="0" fontId="5" fillId="0" borderId="0" xfId="8"/>
    <xf numFmtId="0" fontId="48" fillId="0" borderId="0" xfId="8" applyFont="1"/>
    <xf numFmtId="0" fontId="49" fillId="0" borderId="0" xfId="8" applyFont="1"/>
    <xf numFmtId="0" fontId="50" fillId="0" borderId="0" xfId="8" applyFont="1"/>
    <xf numFmtId="3" fontId="35" fillId="5" borderId="0" xfId="124" applyNumberFormat="1" applyFont="1" applyFill="1" applyAlignment="1">
      <alignment horizontal="center"/>
    </xf>
    <xf numFmtId="0" fontId="9" fillId="0" borderId="0" xfId="8" applyFont="1" applyAlignment="1">
      <alignment horizontal="left"/>
    </xf>
    <xf numFmtId="49" fontId="49" fillId="15" borderId="50" xfId="8" applyNumberFormat="1" applyFont="1" applyFill="1" applyBorder="1" applyAlignment="1">
      <alignment horizontal="center"/>
    </xf>
    <xf numFmtId="170" fontId="5" fillId="15" borderId="1" xfId="8" applyNumberFormat="1" applyFill="1" applyBorder="1" applyAlignment="1">
      <alignment horizontal="center"/>
    </xf>
    <xf numFmtId="176" fontId="52" fillId="15" borderId="3" xfId="6" applyNumberFormat="1" applyFont="1" applyFill="1" applyBorder="1" applyAlignment="1">
      <alignment horizontal="center"/>
    </xf>
    <xf numFmtId="170" fontId="5" fillId="0" borderId="0" xfId="8" applyNumberFormat="1"/>
    <xf numFmtId="170" fontId="5" fillId="16" borderId="0" xfId="8" applyNumberFormat="1" applyFill="1"/>
    <xf numFmtId="176" fontId="53" fillId="6" borderId="3" xfId="6" applyNumberFormat="1" applyFont="1" applyFill="1" applyBorder="1" applyAlignment="1">
      <alignment horizontal="center"/>
    </xf>
    <xf numFmtId="10" fontId="43" fillId="15" borderId="4" xfId="8" applyNumberFormat="1" applyFont="1" applyFill="1" applyBorder="1" applyAlignment="1">
      <alignment horizontal="center"/>
    </xf>
    <xf numFmtId="170" fontId="43" fillId="15" borderId="5" xfId="8" applyNumberFormat="1" applyFont="1" applyFill="1" applyBorder="1"/>
    <xf numFmtId="170" fontId="43" fillId="0" borderId="0" xfId="8" applyNumberFormat="1" applyFont="1"/>
    <xf numFmtId="170" fontId="43" fillId="16" borderId="0" xfId="8" applyNumberFormat="1" applyFont="1" applyFill="1"/>
    <xf numFmtId="170" fontId="36" fillId="15" borderId="5" xfId="8" applyNumberFormat="1" applyFont="1" applyFill="1" applyBorder="1"/>
    <xf numFmtId="170" fontId="5" fillId="15" borderId="5" xfId="8" applyNumberFormat="1" applyFill="1" applyBorder="1"/>
    <xf numFmtId="10" fontId="31" fillId="6" borderId="4" xfId="8" applyNumberFormat="1" applyFont="1" applyFill="1" applyBorder="1" applyAlignment="1">
      <alignment horizontal="center"/>
    </xf>
    <xf numFmtId="0" fontId="9" fillId="15" borderId="51" xfId="8" applyFont="1" applyFill="1" applyBorder="1" applyAlignment="1">
      <alignment horizontal="center"/>
    </xf>
    <xf numFmtId="0" fontId="9" fillId="15" borderId="4" xfId="8" applyFont="1" applyFill="1" applyBorder="1" applyAlignment="1">
      <alignment horizontal="center"/>
    </xf>
    <xf numFmtId="10" fontId="9" fillId="0" borderId="0" xfId="8" applyNumberFormat="1" applyFont="1"/>
    <xf numFmtId="10" fontId="9" fillId="15" borderId="5" xfId="8" applyNumberFormat="1" applyFont="1" applyFill="1" applyBorder="1" applyAlignment="1">
      <alignment horizontal="center"/>
    </xf>
    <xf numFmtId="10" fontId="9" fillId="16" borderId="0" xfId="8" applyNumberFormat="1" applyFont="1" applyFill="1"/>
    <xf numFmtId="10" fontId="31" fillId="6" borderId="5" xfId="8" applyNumberFormat="1" applyFont="1" applyFill="1" applyBorder="1" applyAlignment="1">
      <alignment horizontal="center"/>
    </xf>
    <xf numFmtId="176" fontId="9" fillId="15" borderId="52" xfId="8" applyNumberFormat="1" applyFont="1" applyFill="1" applyBorder="1" applyAlignment="1">
      <alignment horizontal="center"/>
    </xf>
    <xf numFmtId="0" fontId="5" fillId="0" borderId="0" xfId="8" applyAlignment="1">
      <alignment horizontal="center"/>
    </xf>
    <xf numFmtId="0" fontId="31" fillId="6" borderId="6" xfId="8" applyFont="1" applyFill="1" applyBorder="1" applyAlignment="1">
      <alignment horizontal="center"/>
    </xf>
    <xf numFmtId="0" fontId="16" fillId="0" borderId="51" xfId="8" applyFont="1" applyBorder="1"/>
    <xf numFmtId="0" fontId="5" fillId="0" borderId="4" xfId="8" applyBorder="1"/>
    <xf numFmtId="10" fontId="5" fillId="0" borderId="5" xfId="8" applyNumberFormat="1" applyBorder="1"/>
    <xf numFmtId="0" fontId="5" fillId="16" borderId="0" xfId="8" applyFill="1"/>
    <xf numFmtId="0" fontId="5" fillId="11" borderId="4" xfId="8" applyFill="1" applyBorder="1"/>
    <xf numFmtId="10" fontId="5" fillId="11" borderId="5" xfId="8" applyNumberFormat="1" applyFill="1" applyBorder="1"/>
    <xf numFmtId="0" fontId="17" fillId="5" borderId="4" xfId="8" applyFont="1" applyFill="1" applyBorder="1"/>
    <xf numFmtId="10" fontId="17" fillId="5" borderId="5" xfId="8" applyNumberFormat="1" applyFont="1" applyFill="1" applyBorder="1"/>
    <xf numFmtId="0" fontId="35" fillId="0" borderId="0" xfId="8" applyFont="1"/>
    <xf numFmtId="167" fontId="51" fillId="7" borderId="1" xfId="8" applyNumberFormat="1" applyFont="1" applyFill="1" applyBorder="1" applyProtection="1">
      <protection locked="0"/>
    </xf>
    <xf numFmtId="10" fontId="5" fillId="7" borderId="3" xfId="8" applyNumberFormat="1" applyFill="1" applyBorder="1"/>
    <xf numFmtId="0" fontId="5" fillId="0" borderId="51" xfId="8" applyBorder="1"/>
    <xf numFmtId="167" fontId="5" fillId="0" borderId="4" xfId="8" applyNumberFormat="1" applyBorder="1"/>
    <xf numFmtId="167" fontId="5" fillId="0" borderId="0" xfId="8" applyNumberFormat="1"/>
    <xf numFmtId="166" fontId="0" fillId="11" borderId="4" xfId="6" applyNumberFormat="1" applyFont="1" applyFill="1" applyBorder="1" applyAlignment="1">
      <alignment horizontal="center"/>
    </xf>
    <xf numFmtId="167" fontId="43" fillId="5" borderId="4" xfId="6" applyFont="1" applyFill="1" applyBorder="1" applyAlignment="1">
      <alignment horizontal="center"/>
    </xf>
    <xf numFmtId="10" fontId="14" fillId="5" borderId="5" xfId="8" applyNumberFormat="1" applyFont="1" applyFill="1" applyBorder="1" applyProtection="1">
      <protection locked="0"/>
    </xf>
    <xf numFmtId="167" fontId="51" fillId="7" borderId="4" xfId="8" applyNumberFormat="1" applyFont="1" applyFill="1" applyBorder="1" applyProtection="1">
      <protection locked="0"/>
    </xf>
    <xf numFmtId="10" fontId="5" fillId="7" borderId="5" xfId="8" applyNumberFormat="1" applyFill="1" applyBorder="1"/>
    <xf numFmtId="0" fontId="5" fillId="0" borderId="53" xfId="8" applyBorder="1"/>
    <xf numFmtId="0" fontId="5" fillId="7" borderId="0" xfId="8" applyFill="1"/>
    <xf numFmtId="0" fontId="56" fillId="0" borderId="0" xfId="8" applyFont="1"/>
    <xf numFmtId="10" fontId="55" fillId="17" borderId="5" xfId="8" applyNumberFormat="1" applyFont="1" applyFill="1" applyBorder="1"/>
    <xf numFmtId="0" fontId="56" fillId="16" borderId="0" xfId="8" applyFont="1" applyFill="1"/>
    <xf numFmtId="0" fontId="55" fillId="0" borderId="0" xfId="8" applyFont="1"/>
    <xf numFmtId="166" fontId="55" fillId="17" borderId="4" xfId="6" applyNumberFormat="1" applyFont="1" applyFill="1" applyBorder="1"/>
    <xf numFmtId="167" fontId="31" fillId="6" borderId="4" xfId="6" applyFont="1" applyFill="1" applyBorder="1"/>
    <xf numFmtId="10" fontId="31" fillId="6" borderId="5" xfId="8" applyNumberFormat="1" applyFont="1" applyFill="1" applyBorder="1"/>
    <xf numFmtId="0" fontId="5" fillId="0" borderId="55" xfId="8" applyBorder="1"/>
    <xf numFmtId="167" fontId="0" fillId="0" borderId="4" xfId="6" applyFont="1" applyBorder="1"/>
    <xf numFmtId="166" fontId="5" fillId="11" borderId="4" xfId="6" applyNumberFormat="1" applyFont="1" applyFill="1" applyBorder="1"/>
    <xf numFmtId="167" fontId="5" fillId="5" borderId="4" xfId="6" applyFont="1" applyFill="1" applyBorder="1"/>
    <xf numFmtId="10" fontId="5" fillId="5" borderId="5" xfId="8" applyNumberFormat="1" applyFill="1" applyBorder="1"/>
    <xf numFmtId="0" fontId="36" fillId="7" borderId="56" xfId="8" applyFont="1" applyFill="1" applyBorder="1"/>
    <xf numFmtId="0" fontId="43" fillId="7" borderId="57" xfId="8" applyFont="1" applyFill="1" applyBorder="1"/>
    <xf numFmtId="167" fontId="5" fillId="7" borderId="58" xfId="6" applyFont="1" applyFill="1" applyBorder="1"/>
    <xf numFmtId="10" fontId="5" fillId="7" borderId="59" xfId="8" applyNumberFormat="1" applyFill="1" applyBorder="1"/>
    <xf numFmtId="0" fontId="5" fillId="7" borderId="57" xfId="8" applyFill="1" applyBorder="1"/>
    <xf numFmtId="166" fontId="5" fillId="11" borderId="58" xfId="6" applyNumberFormat="1" applyFont="1" applyFill="1" applyBorder="1"/>
    <xf numFmtId="10" fontId="5" fillId="11" borderId="59" xfId="8" applyNumberFormat="1" applyFill="1" applyBorder="1"/>
    <xf numFmtId="167" fontId="0" fillId="5" borderId="58" xfId="6" applyFont="1" applyFill="1" applyBorder="1"/>
    <xf numFmtId="10" fontId="14" fillId="5" borderId="59" xfId="8" applyNumberFormat="1" applyFont="1" applyFill="1" applyBorder="1" applyProtection="1">
      <protection locked="0"/>
    </xf>
    <xf numFmtId="0" fontId="9" fillId="0" borderId="51" xfId="8" applyFont="1" applyBorder="1"/>
    <xf numFmtId="167" fontId="57" fillId="0" borderId="4" xfId="6" applyFont="1" applyFill="1" applyBorder="1"/>
    <xf numFmtId="167" fontId="0" fillId="0" borderId="4" xfId="6" applyFont="1" applyFill="1" applyBorder="1"/>
    <xf numFmtId="167" fontId="5" fillId="0" borderId="4" xfId="6" applyFont="1" applyFill="1" applyBorder="1"/>
    <xf numFmtId="0" fontId="5" fillId="0" borderId="60" xfId="8" applyBorder="1"/>
    <xf numFmtId="165" fontId="0" fillId="0" borderId="61" xfId="6" applyNumberFormat="1" applyFont="1" applyFill="1" applyBorder="1"/>
    <xf numFmtId="10" fontId="5" fillId="0" borderId="54" xfId="8" applyNumberFormat="1" applyBorder="1"/>
    <xf numFmtId="10" fontId="5" fillId="11" borderId="54" xfId="8" applyNumberFormat="1" applyFill="1" applyBorder="1"/>
    <xf numFmtId="10" fontId="5" fillId="5" borderId="54" xfId="8" applyNumberFormat="1" applyFill="1" applyBorder="1"/>
    <xf numFmtId="0" fontId="9" fillId="0" borderId="56" xfId="8" applyFont="1" applyBorder="1"/>
    <xf numFmtId="0" fontId="9" fillId="0" borderId="57" xfId="8" applyFont="1" applyBorder="1"/>
    <xf numFmtId="167" fontId="9" fillId="0" borderId="58" xfId="6" applyFont="1" applyBorder="1"/>
    <xf numFmtId="10" fontId="9" fillId="0" borderId="59" xfId="8" applyNumberFormat="1" applyFont="1" applyBorder="1"/>
    <xf numFmtId="0" fontId="9" fillId="16" borderId="57" xfId="8" applyFont="1" applyFill="1" applyBorder="1"/>
    <xf numFmtId="166" fontId="9" fillId="11" borderId="62" xfId="6" applyNumberFormat="1" applyFont="1" applyFill="1" applyBorder="1"/>
    <xf numFmtId="10" fontId="9" fillId="11" borderId="59" xfId="8" applyNumberFormat="1" applyFont="1" applyFill="1" applyBorder="1"/>
    <xf numFmtId="167" fontId="9" fillId="5" borderId="62" xfId="6" applyFont="1" applyFill="1" applyBorder="1"/>
    <xf numFmtId="167" fontId="35" fillId="0" borderId="13" xfId="8" applyNumberFormat="1" applyFont="1" applyBorder="1"/>
    <xf numFmtId="10" fontId="35" fillId="0" borderId="28" xfId="8" applyNumberFormat="1" applyFont="1" applyBorder="1"/>
    <xf numFmtId="166" fontId="9" fillId="11" borderId="58" xfId="6" applyNumberFormat="1" applyFont="1" applyFill="1" applyBorder="1"/>
    <xf numFmtId="0" fontId="9" fillId="0" borderId="0" xfId="8" applyFont="1"/>
    <xf numFmtId="167" fontId="9" fillId="5" borderId="58" xfId="6" applyFont="1" applyFill="1" applyBorder="1"/>
    <xf numFmtId="10" fontId="9" fillId="5" borderId="59" xfId="8" applyNumberFormat="1" applyFont="1" applyFill="1" applyBorder="1"/>
    <xf numFmtId="0" fontId="55" fillId="17" borderId="51" xfId="8" applyFont="1" applyFill="1" applyBorder="1"/>
    <xf numFmtId="167" fontId="55" fillId="17" borderId="4" xfId="6" applyFont="1" applyFill="1" applyBorder="1"/>
    <xf numFmtId="167" fontId="5" fillId="7" borderId="4" xfId="6" applyFont="1" applyFill="1" applyBorder="1"/>
    <xf numFmtId="167" fontId="5" fillId="0" borderId="0" xfId="6" applyFont="1" applyFill="1" applyBorder="1"/>
    <xf numFmtId="0" fontId="5" fillId="7" borderId="51" xfId="8" applyFill="1" applyBorder="1"/>
    <xf numFmtId="167" fontId="5" fillId="7" borderId="0" xfId="6" applyFont="1" applyFill="1" applyBorder="1"/>
    <xf numFmtId="167" fontId="5" fillId="0" borderId="4" xfId="6" applyFont="1" applyBorder="1"/>
    <xf numFmtId="0" fontId="5" fillId="0" borderId="57" xfId="8" applyBorder="1"/>
    <xf numFmtId="10" fontId="9" fillId="0" borderId="59" xfId="6" applyNumberFormat="1" applyFont="1" applyBorder="1"/>
    <xf numFmtId="167" fontId="0" fillId="0" borderId="57" xfId="6" applyFont="1" applyBorder="1"/>
    <xf numFmtId="10" fontId="9" fillId="0" borderId="59" xfId="6" applyNumberFormat="1" applyFont="1" applyBorder="1" applyProtection="1"/>
    <xf numFmtId="167" fontId="5" fillId="0" borderId="57" xfId="6" applyFont="1" applyFill="1" applyBorder="1"/>
    <xf numFmtId="0" fontId="5" fillId="16" borderId="57" xfId="8" applyFill="1" applyBorder="1"/>
    <xf numFmtId="10" fontId="9" fillId="11" borderId="59" xfId="6" applyNumberFormat="1" applyFont="1" applyFill="1" applyBorder="1"/>
    <xf numFmtId="10" fontId="14" fillId="5" borderId="59" xfId="6" applyNumberFormat="1" applyFont="1" applyFill="1" applyBorder="1" applyProtection="1">
      <protection locked="0"/>
    </xf>
    <xf numFmtId="167" fontId="0" fillId="5" borderId="4" xfId="6" applyFont="1" applyFill="1" applyBorder="1"/>
    <xf numFmtId="0" fontId="56" fillId="0" borderId="51" xfId="8" applyFont="1" applyBorder="1"/>
    <xf numFmtId="0" fontId="55" fillId="16" borderId="0" xfId="8" applyFont="1" applyFill="1"/>
    <xf numFmtId="166" fontId="5" fillId="11" borderId="61" xfId="6" applyNumberFormat="1" applyFont="1" applyFill="1" applyBorder="1"/>
    <xf numFmtId="167" fontId="5" fillId="5" borderId="61" xfId="6" applyFont="1" applyFill="1" applyBorder="1"/>
    <xf numFmtId="0" fontId="55" fillId="17" borderId="52" xfId="8" applyFont="1" applyFill="1" applyBorder="1"/>
    <xf numFmtId="167" fontId="55" fillId="17" borderId="6" xfId="6" applyFont="1" applyFill="1" applyBorder="1"/>
    <xf numFmtId="10" fontId="55" fillId="17" borderId="8" xfId="8" applyNumberFormat="1" applyFont="1" applyFill="1" applyBorder="1"/>
    <xf numFmtId="166" fontId="55" fillId="17" borderId="6" xfId="6" applyNumberFormat="1" applyFont="1" applyFill="1" applyBorder="1"/>
    <xf numFmtId="167" fontId="31" fillId="6" borderId="6" xfId="6" applyFont="1" applyFill="1" applyBorder="1"/>
    <xf numFmtId="10" fontId="31" fillId="6" borderId="8" xfId="8" applyNumberFormat="1" applyFont="1" applyFill="1" applyBorder="1"/>
    <xf numFmtId="0" fontId="9" fillId="5" borderId="13" xfId="8" applyFont="1" applyFill="1" applyBorder="1"/>
    <xf numFmtId="9" fontId="14" fillId="5" borderId="28" xfId="8" applyNumberFormat="1" applyFont="1" applyFill="1" applyBorder="1" applyAlignment="1" applyProtection="1">
      <alignment horizontal="center"/>
      <protection locked="0"/>
    </xf>
    <xf numFmtId="165" fontId="35" fillId="5" borderId="0" xfId="124" applyNumberFormat="1" applyFont="1" applyFill="1" applyAlignment="1">
      <alignment horizontal="center"/>
    </xf>
    <xf numFmtId="1" fontId="58" fillId="0" borderId="25" xfId="0" applyNumberFormat="1" applyFont="1" applyBorder="1" applyAlignment="1">
      <alignment horizontal="center"/>
    </xf>
    <xf numFmtId="1" fontId="58" fillId="0" borderId="11" xfId="0" applyNumberFormat="1" applyFont="1" applyBorder="1" applyAlignment="1">
      <alignment horizontal="center"/>
    </xf>
    <xf numFmtId="1" fontId="36" fillId="2" borderId="48" xfId="0" applyNumberFormat="1" applyFont="1" applyFill="1" applyBorder="1" applyAlignment="1" applyProtection="1">
      <alignment horizontal="center"/>
    </xf>
    <xf numFmtId="10" fontId="5" fillId="0" borderId="5" xfId="8" applyNumberFormat="1" applyFont="1" applyBorder="1"/>
    <xf numFmtId="0" fontId="17" fillId="2" borderId="11" xfId="0" applyNumberFormat="1" applyFont="1" applyFill="1" applyBorder="1" applyAlignment="1">
      <alignment horizontal="center"/>
    </xf>
    <xf numFmtId="0" fontId="17" fillId="2" borderId="12" xfId="0" applyNumberFormat="1" applyFont="1" applyFill="1" applyBorder="1" applyAlignment="1">
      <alignment horizontal="center"/>
    </xf>
    <xf numFmtId="0" fontId="9" fillId="15" borderId="6" xfId="8" applyNumberFormat="1" applyFont="1" applyFill="1" applyBorder="1" applyAlignment="1">
      <alignment horizontal="center"/>
    </xf>
    <xf numFmtId="0" fontId="5" fillId="15" borderId="8" xfId="8" applyNumberFormat="1" applyFill="1" applyBorder="1" applyAlignment="1">
      <alignment horizontal="center"/>
    </xf>
    <xf numFmtId="0" fontId="5" fillId="0" borderId="0" xfId="8" applyNumberFormat="1" applyAlignment="1">
      <alignment horizontal="center"/>
    </xf>
    <xf numFmtId="0" fontId="9" fillId="0" borderId="0" xfId="8" applyNumberFormat="1" applyFont="1" applyAlignment="1">
      <alignment horizontal="center"/>
    </xf>
    <xf numFmtId="0" fontId="5" fillId="16" borderId="0" xfId="8" applyNumberFormat="1" applyFill="1" applyAlignment="1">
      <alignment horizontal="center"/>
    </xf>
    <xf numFmtId="10" fontId="36" fillId="15" borderId="4" xfId="8" applyNumberFormat="1" applyFont="1" applyFill="1" applyBorder="1" applyAlignment="1">
      <alignment horizontal="center"/>
    </xf>
    <xf numFmtId="3" fontId="36" fillId="14" borderId="51" xfId="8" applyNumberFormat="1" applyFont="1" applyFill="1" applyBorder="1" applyAlignment="1" applyProtection="1">
      <alignment horizontal="center"/>
    </xf>
    <xf numFmtId="0" fontId="30" fillId="0" borderId="26" xfId="0" applyFont="1" applyBorder="1" applyAlignment="1">
      <alignment horizontal="center" wrapText="1"/>
    </xf>
    <xf numFmtId="171" fontId="36" fillId="2" borderId="17" xfId="0" applyNumberFormat="1" applyFont="1" applyFill="1" applyBorder="1" applyAlignment="1">
      <alignment horizontal="center"/>
    </xf>
    <xf numFmtId="0" fontId="30" fillId="0" borderId="21" xfId="0" applyFont="1" applyBorder="1" applyAlignment="1" applyProtection="1">
      <alignment horizontal="center" wrapText="1"/>
      <protection locked="0"/>
    </xf>
    <xf numFmtId="0" fontId="30" fillId="0" borderId="11" xfId="0" applyFont="1" applyBorder="1" applyAlignment="1">
      <alignment horizontal="center" wrapText="1"/>
    </xf>
    <xf numFmtId="1" fontId="16" fillId="0" borderId="25" xfId="0" applyNumberFormat="1" applyFont="1" applyBorder="1" applyAlignment="1" applyProtection="1">
      <alignment horizontal="center"/>
    </xf>
    <xf numFmtId="1" fontId="16" fillId="0" borderId="11" xfId="0" applyNumberFormat="1" applyFont="1" applyBorder="1" applyAlignment="1" applyProtection="1">
      <alignment horizontal="center"/>
    </xf>
    <xf numFmtId="0" fontId="3" fillId="18" borderId="0" xfId="124" applyFill="1"/>
    <xf numFmtId="0" fontId="37" fillId="18" borderId="0" xfId="124" applyFont="1" applyFill="1" applyAlignment="1">
      <alignment horizontal="center"/>
    </xf>
    <xf numFmtId="0" fontId="38" fillId="18" borderId="0" xfId="124" applyFont="1" applyFill="1" applyAlignment="1">
      <alignment horizontal="center"/>
    </xf>
    <xf numFmtId="0" fontId="5" fillId="18" borderId="0" xfId="8" applyFill="1"/>
    <xf numFmtId="0" fontId="44" fillId="18" borderId="0" xfId="124" applyFont="1" applyFill="1" applyAlignment="1">
      <alignment horizontal="center"/>
    </xf>
    <xf numFmtId="0" fontId="3" fillId="18" borderId="0" xfId="124" applyFill="1" applyAlignment="1">
      <alignment horizontal="center"/>
    </xf>
    <xf numFmtId="0" fontId="60" fillId="0" borderId="0" xfId="8" applyFont="1"/>
    <xf numFmtId="39" fontId="39" fillId="5" borderId="0" xfId="124" applyNumberFormat="1" applyFont="1" applyFill="1" applyAlignment="1" applyProtection="1">
      <alignment horizontal="center"/>
      <protection locked="0"/>
    </xf>
    <xf numFmtId="1" fontId="14" fillId="0" borderId="63" xfId="0" applyNumberFormat="1" applyFont="1" applyBorder="1" applyAlignment="1" applyProtection="1">
      <alignment horizontal="center"/>
      <protection locked="0"/>
    </xf>
    <xf numFmtId="10" fontId="9" fillId="0" borderId="0" xfId="8" applyNumberFormat="1" applyFont="1" applyAlignment="1">
      <alignment horizontal="center"/>
    </xf>
    <xf numFmtId="167" fontId="5" fillId="0" borderId="0" xfId="8" applyNumberFormat="1"/>
    <xf numFmtId="0" fontId="16" fillId="14" borderId="51" xfId="8" applyFont="1" applyFill="1" applyBorder="1" applyAlignment="1">
      <alignment horizontal="center"/>
    </xf>
    <xf numFmtId="10" fontId="5" fillId="0" borderId="0" xfId="8" applyNumberFormat="1"/>
    <xf numFmtId="167" fontId="0" fillId="0" borderId="4" xfId="125" applyFont="1" applyBorder="1"/>
    <xf numFmtId="167" fontId="5" fillId="11" borderId="4" xfId="125" applyFont="1" applyFill="1" applyBorder="1"/>
    <xf numFmtId="0" fontId="66" fillId="0" borderId="0" xfId="8" applyFont="1"/>
    <xf numFmtId="167" fontId="66" fillId="17" borderId="4" xfId="125" applyFont="1" applyFill="1" applyBorder="1"/>
    <xf numFmtId="10" fontId="67" fillId="17" borderId="5" xfId="11" applyNumberFormat="1" applyFont="1" applyFill="1" applyBorder="1"/>
    <xf numFmtId="0" fontId="67" fillId="16" borderId="0" xfId="8" applyFont="1" applyFill="1"/>
    <xf numFmtId="0" fontId="67" fillId="0" borderId="0" xfId="8" applyFont="1"/>
    <xf numFmtId="167" fontId="5" fillId="0" borderId="4" xfId="125" applyFont="1" applyBorder="1"/>
    <xf numFmtId="167" fontId="5" fillId="0" borderId="58" xfId="125" applyFont="1" applyBorder="1"/>
    <xf numFmtId="10" fontId="5" fillId="0" borderId="59" xfId="8" applyNumberFormat="1" applyBorder="1"/>
    <xf numFmtId="167" fontId="5" fillId="11" borderId="58" xfId="125" applyFont="1" applyFill="1" applyBorder="1"/>
    <xf numFmtId="167" fontId="5" fillId="0" borderId="61" xfId="125" applyFont="1" applyBorder="1"/>
    <xf numFmtId="0" fontId="9" fillId="7" borderId="0" xfId="8" applyFont="1" applyFill="1"/>
    <xf numFmtId="0" fontId="5" fillId="0" borderId="0" xfId="8" applyNumberFormat="1"/>
    <xf numFmtId="0" fontId="5" fillId="7" borderId="0" xfId="8" applyFill="1" applyProtection="1">
      <protection hidden="1"/>
    </xf>
    <xf numFmtId="0" fontId="3" fillId="2" borderId="2" xfId="124" applyFill="1" applyBorder="1"/>
    <xf numFmtId="0" fontId="3" fillId="2" borderId="0" xfId="124" applyFill="1" applyBorder="1"/>
    <xf numFmtId="0" fontId="37" fillId="2" borderId="0" xfId="124" applyFont="1" applyFill="1" applyBorder="1" applyAlignment="1">
      <alignment horizontal="center"/>
    </xf>
    <xf numFmtId="0" fontId="38" fillId="2" borderId="0" xfId="124" applyFont="1" applyFill="1" applyBorder="1" applyAlignment="1">
      <alignment horizontal="center"/>
    </xf>
    <xf numFmtId="0" fontId="5" fillId="2" borderId="0" xfId="8" applyFill="1" applyBorder="1"/>
    <xf numFmtId="0" fontId="44" fillId="2" borderId="0" xfId="124" applyFont="1" applyFill="1" applyBorder="1" applyAlignment="1">
      <alignment horizontal="center"/>
    </xf>
    <xf numFmtId="0" fontId="3" fillId="2" borderId="0" xfId="124" applyFill="1" applyBorder="1" applyAlignment="1">
      <alignment horizontal="center"/>
    </xf>
    <xf numFmtId="165" fontId="35" fillId="5" borderId="0" xfId="124" applyNumberFormat="1" applyFont="1" applyFill="1" applyBorder="1" applyAlignment="1">
      <alignment horizontal="center"/>
    </xf>
    <xf numFmtId="3" fontId="35" fillId="5" borderId="0" xfId="124" applyNumberFormat="1" applyFont="1" applyFill="1" applyBorder="1" applyAlignment="1">
      <alignment horizontal="center"/>
    </xf>
    <xf numFmtId="39" fontId="35" fillId="5" borderId="0" xfId="124" applyNumberFormat="1" applyFont="1" applyFill="1" applyBorder="1" applyAlignment="1" applyProtection="1">
      <alignment horizontal="center"/>
    </xf>
    <xf numFmtId="165" fontId="35" fillId="5" borderId="0" xfId="124" applyNumberFormat="1" applyFont="1" applyFill="1" applyBorder="1" applyAlignment="1" applyProtection="1">
      <alignment horizontal="center"/>
    </xf>
    <xf numFmtId="0" fontId="3" fillId="2" borderId="7" xfId="124" applyFill="1" applyBorder="1" applyAlignment="1">
      <alignment horizontal="center"/>
    </xf>
    <xf numFmtId="0" fontId="3" fillId="20" borderId="2" xfId="124" applyFill="1" applyBorder="1"/>
    <xf numFmtId="0" fontId="3" fillId="20" borderId="0" xfId="124" applyFill="1" applyBorder="1"/>
    <xf numFmtId="0" fontId="37" fillId="20" borderId="0" xfId="124" applyFont="1" applyFill="1" applyBorder="1" applyAlignment="1">
      <alignment horizontal="center"/>
    </xf>
    <xf numFmtId="0" fontId="38" fillId="20" borderId="0" xfId="124" applyFont="1" applyFill="1" applyBorder="1" applyAlignment="1">
      <alignment horizontal="center"/>
    </xf>
    <xf numFmtId="0" fontId="5" fillId="20" borderId="0" xfId="8" applyFill="1" applyBorder="1"/>
    <xf numFmtId="0" fontId="44" fillId="20" borderId="0" xfId="124" applyFont="1" applyFill="1" applyBorder="1" applyAlignment="1">
      <alignment horizontal="center"/>
    </xf>
    <xf numFmtId="0" fontId="3" fillId="20" borderId="0" xfId="124" applyFill="1" applyBorder="1" applyAlignment="1">
      <alignment horizontal="center"/>
    </xf>
    <xf numFmtId="0" fontId="3" fillId="20" borderId="7" xfId="124" applyFill="1" applyBorder="1" applyAlignment="1">
      <alignment horizontal="center"/>
    </xf>
    <xf numFmtId="0" fontId="3" fillId="18" borderId="2" xfId="124" applyFill="1" applyBorder="1"/>
    <xf numFmtId="0" fontId="3" fillId="18" borderId="0" xfId="124" applyFill="1" applyBorder="1"/>
    <xf numFmtId="0" fontId="37" fillId="18" borderId="0" xfId="124" applyFont="1" applyFill="1" applyBorder="1" applyAlignment="1">
      <alignment horizontal="center"/>
    </xf>
    <xf numFmtId="0" fontId="38" fillId="18" borderId="0" xfId="124" applyFont="1" applyFill="1" applyBorder="1" applyAlignment="1">
      <alignment horizontal="center"/>
    </xf>
    <xf numFmtId="0" fontId="5" fillId="18" borderId="0" xfId="8" applyFill="1" applyBorder="1"/>
    <xf numFmtId="0" fontId="44" fillId="18" borderId="0" xfId="124" applyFont="1" applyFill="1" applyBorder="1" applyAlignment="1">
      <alignment horizontal="center"/>
    </xf>
    <xf numFmtId="0" fontId="3" fillId="18" borderId="0" xfId="124" applyFill="1" applyBorder="1" applyAlignment="1">
      <alignment horizontal="center"/>
    </xf>
    <xf numFmtId="0" fontId="3" fillId="18" borderId="7" xfId="124" applyFill="1" applyBorder="1" applyAlignment="1">
      <alignment horizontal="center"/>
    </xf>
    <xf numFmtId="0" fontId="3" fillId="21" borderId="2" xfId="124" applyFill="1" applyBorder="1"/>
    <xf numFmtId="0" fontId="3" fillId="21" borderId="0" xfId="124" applyFill="1" applyBorder="1"/>
    <xf numFmtId="0" fontId="37" fillId="21" borderId="0" xfId="124" applyFont="1" applyFill="1" applyBorder="1" applyAlignment="1">
      <alignment horizontal="center"/>
    </xf>
    <xf numFmtId="0" fontId="38" fillId="21" borderId="0" xfId="124" applyFont="1" applyFill="1" applyBorder="1" applyAlignment="1">
      <alignment horizontal="center"/>
    </xf>
    <xf numFmtId="0" fontId="5" fillId="21" borderId="0" xfId="8" applyFill="1" applyBorder="1"/>
    <xf numFmtId="0" fontId="44" fillId="21" borderId="0" xfId="124" applyFont="1" applyFill="1" applyBorder="1" applyAlignment="1">
      <alignment horizontal="center"/>
    </xf>
    <xf numFmtId="0" fontId="3" fillId="21" borderId="0" xfId="124" applyFill="1" applyBorder="1" applyAlignment="1">
      <alignment horizontal="center"/>
    </xf>
    <xf numFmtId="0" fontId="3" fillId="21" borderId="7" xfId="124" applyFill="1" applyBorder="1" applyAlignment="1">
      <alignment horizontal="center"/>
    </xf>
    <xf numFmtId="0" fontId="68" fillId="6" borderId="2" xfId="124" applyFont="1" applyFill="1" applyBorder="1"/>
    <xf numFmtId="0" fontId="68" fillId="6" borderId="0" xfId="124" applyFont="1" applyFill="1" applyBorder="1"/>
    <xf numFmtId="0" fontId="72" fillId="6" borderId="0" xfId="124" applyFont="1" applyFill="1" applyBorder="1" applyAlignment="1">
      <alignment horizontal="center"/>
    </xf>
    <xf numFmtId="0" fontId="73" fillId="6" borderId="0" xfId="124" applyFont="1" applyFill="1" applyBorder="1" applyAlignment="1">
      <alignment horizontal="center"/>
    </xf>
    <xf numFmtId="0" fontId="32" fillId="6" borderId="0" xfId="8" applyFont="1" applyFill="1" applyBorder="1"/>
    <xf numFmtId="0" fontId="74" fillId="6" borderId="0" xfId="124" applyFont="1" applyFill="1" applyBorder="1" applyAlignment="1">
      <alignment horizontal="center"/>
    </xf>
    <xf numFmtId="0" fontId="68" fillId="6" borderId="0" xfId="124" applyFont="1" applyFill="1" applyBorder="1" applyAlignment="1">
      <alignment horizontal="center"/>
    </xf>
    <xf numFmtId="0" fontId="68" fillId="6" borderId="7" xfId="124" applyFont="1" applyFill="1" applyBorder="1" applyAlignment="1">
      <alignment horizontal="center"/>
    </xf>
    <xf numFmtId="0" fontId="60" fillId="7" borderId="0" xfId="8" applyFont="1" applyFill="1"/>
    <xf numFmtId="39" fontId="39" fillId="5" borderId="0" xfId="124" applyNumberFormat="1" applyFont="1" applyFill="1" applyBorder="1" applyAlignment="1" applyProtection="1">
      <alignment horizontal="center"/>
      <protection locked="0"/>
    </xf>
    <xf numFmtId="165" fontId="39" fillId="5" borderId="0" xfId="124" applyNumberFormat="1" applyFont="1" applyFill="1" applyBorder="1" applyAlignment="1" applyProtection="1">
      <alignment horizontal="center"/>
      <protection locked="0"/>
    </xf>
    <xf numFmtId="177" fontId="35" fillId="5" borderId="0" xfId="124" applyNumberFormat="1" applyFont="1" applyFill="1" applyBorder="1" applyAlignment="1">
      <alignment horizontal="center"/>
    </xf>
    <xf numFmtId="170" fontId="5" fillId="14" borderId="1" xfId="8" applyNumberFormat="1" applyFill="1" applyBorder="1"/>
    <xf numFmtId="170" fontId="5" fillId="7" borderId="0" xfId="8" applyNumberFormat="1" applyFill="1"/>
    <xf numFmtId="10" fontId="5" fillId="14" borderId="4" xfId="8" applyNumberFormat="1" applyFill="1" applyBorder="1" applyAlignment="1">
      <alignment horizontal="center"/>
    </xf>
    <xf numFmtId="10" fontId="5" fillId="14" borderId="5" xfId="8" applyNumberFormat="1" applyFill="1" applyBorder="1" applyAlignment="1">
      <alignment horizontal="center"/>
    </xf>
    <xf numFmtId="10" fontId="5" fillId="0" borderId="0" xfId="8" applyNumberFormat="1" applyAlignment="1">
      <alignment horizontal="center"/>
    </xf>
    <xf numFmtId="10" fontId="5" fillId="7" borderId="0" xfId="8" applyNumberFormat="1" applyFill="1" applyAlignment="1">
      <alignment horizontal="center"/>
    </xf>
    <xf numFmtId="170" fontId="5" fillId="14" borderId="4" xfId="8" applyNumberFormat="1" applyFill="1" applyBorder="1" applyAlignment="1">
      <alignment horizontal="center"/>
    </xf>
    <xf numFmtId="0" fontId="5" fillId="22" borderId="5" xfId="8" applyFill="1" applyBorder="1" applyAlignment="1">
      <alignment horizontal="center"/>
    </xf>
    <xf numFmtId="0" fontId="5" fillId="7" borderId="0" xfId="8" applyFill="1" applyAlignment="1">
      <alignment horizontal="center"/>
    </xf>
    <xf numFmtId="170" fontId="5" fillId="14" borderId="6" xfId="8" applyNumberFormat="1" applyFill="1" applyBorder="1" applyAlignment="1">
      <alignment horizontal="center"/>
    </xf>
    <xf numFmtId="170" fontId="5" fillId="0" borderId="0" xfId="8" applyNumberFormat="1" applyAlignment="1">
      <alignment horizontal="center"/>
    </xf>
    <xf numFmtId="170" fontId="5" fillId="14" borderId="8" xfId="8" applyNumberFormat="1" applyFill="1" applyBorder="1" applyAlignment="1">
      <alignment horizontal="center"/>
    </xf>
    <xf numFmtId="170" fontId="5" fillId="7" borderId="0" xfId="8" applyNumberFormat="1" applyFill="1" applyAlignment="1">
      <alignment horizontal="center"/>
    </xf>
    <xf numFmtId="0" fontId="5" fillId="0" borderId="5" xfId="8" applyBorder="1"/>
    <xf numFmtId="9" fontId="5" fillId="0" borderId="0" xfId="11" applyFill="1" applyBorder="1" applyProtection="1"/>
    <xf numFmtId="10" fontId="5" fillId="0" borderId="5" xfId="11" applyNumberFormat="1" applyBorder="1" applyAlignment="1" applyProtection="1">
      <alignment horizontal="center"/>
    </xf>
    <xf numFmtId="0" fontId="55" fillId="17" borderId="61" xfId="8" applyFont="1" applyFill="1" applyBorder="1"/>
    <xf numFmtId="0" fontId="55" fillId="17" borderId="54" xfId="8" applyFont="1" applyFill="1" applyBorder="1"/>
    <xf numFmtId="0" fontId="55" fillId="0" borderId="4" xfId="8" applyFont="1" applyBorder="1"/>
    <xf numFmtId="10" fontId="55" fillId="17" borderId="8" xfId="11" applyNumberFormat="1" applyFont="1" applyFill="1" applyBorder="1" applyAlignment="1" applyProtection="1">
      <alignment horizontal="center"/>
    </xf>
    <xf numFmtId="0" fontId="55" fillId="0" borderId="51" xfId="8" applyFont="1" applyBorder="1"/>
    <xf numFmtId="10" fontId="55" fillId="17" borderId="54" xfId="11" applyNumberFormat="1" applyFont="1" applyFill="1" applyBorder="1" applyAlignment="1" applyProtection="1">
      <alignment horizontal="center"/>
    </xf>
    <xf numFmtId="10" fontId="55" fillId="6" borderId="28" xfId="11" applyNumberFormat="1" applyFont="1" applyFill="1" applyBorder="1" applyAlignment="1" applyProtection="1">
      <alignment horizontal="center"/>
    </xf>
    <xf numFmtId="170" fontId="55" fillId="0" borderId="0" xfId="8" applyNumberFormat="1" applyFont="1"/>
    <xf numFmtId="170" fontId="55" fillId="0" borderId="51" xfId="8" applyNumberFormat="1" applyFont="1" applyBorder="1"/>
    <xf numFmtId="10" fontId="55" fillId="6" borderId="54" xfId="11" applyNumberFormat="1" applyFont="1" applyFill="1" applyBorder="1" applyAlignment="1" applyProtection="1">
      <alignment horizontal="center"/>
    </xf>
    <xf numFmtId="170" fontId="9" fillId="0" borderId="0" xfId="8" applyNumberFormat="1" applyFont="1"/>
    <xf numFmtId="10" fontId="5" fillId="0" borderId="5" xfId="11" applyNumberFormat="1" applyFill="1" applyBorder="1" applyAlignment="1" applyProtection="1">
      <alignment horizontal="center"/>
    </xf>
    <xf numFmtId="0" fontId="56" fillId="0" borderId="4" xfId="8" applyFont="1" applyBorder="1"/>
    <xf numFmtId="10" fontId="5" fillId="0" borderId="5" xfId="11" applyNumberFormat="1" applyFont="1" applyFill="1" applyBorder="1" applyAlignment="1" applyProtection="1">
      <alignment horizontal="center"/>
    </xf>
    <xf numFmtId="175" fontId="5" fillId="0" borderId="0" xfId="8" applyNumberFormat="1"/>
    <xf numFmtId="175" fontId="5" fillId="0" borderId="51" xfId="8" applyNumberFormat="1" applyBorder="1"/>
    <xf numFmtId="10" fontId="55" fillId="17" borderId="54" xfId="8" applyNumberFormat="1" applyFont="1" applyFill="1" applyBorder="1" applyAlignment="1">
      <alignment horizontal="center"/>
    </xf>
    <xf numFmtId="10" fontId="5" fillId="0" borderId="5" xfId="8" applyNumberFormat="1" applyBorder="1" applyAlignment="1">
      <alignment horizontal="center"/>
    </xf>
    <xf numFmtId="10" fontId="0" fillId="0" borderId="5" xfId="11" applyNumberFormat="1" applyFont="1" applyBorder="1" applyAlignment="1" applyProtection="1">
      <alignment horizontal="center"/>
    </xf>
    <xf numFmtId="10" fontId="0" fillId="0" borderId="54" xfId="11" applyNumberFormat="1" applyFont="1" applyBorder="1" applyAlignment="1" applyProtection="1">
      <alignment horizontal="center"/>
    </xf>
    <xf numFmtId="10" fontId="55" fillId="17" borderId="81" xfId="11" applyNumberFormat="1" applyFont="1" applyFill="1" applyBorder="1" applyAlignment="1" applyProtection="1">
      <alignment horizontal="center"/>
    </xf>
    <xf numFmtId="0" fontId="5" fillId="7" borderId="4" xfId="8" applyFill="1" applyBorder="1"/>
    <xf numFmtId="0" fontId="55" fillId="7" borderId="5" xfId="8" applyFont="1" applyFill="1" applyBorder="1"/>
    <xf numFmtId="0" fontId="55" fillId="7" borderId="4" xfId="8" applyFont="1" applyFill="1" applyBorder="1"/>
    <xf numFmtId="0" fontId="55" fillId="7" borderId="0" xfId="8" applyFont="1" applyFill="1"/>
    <xf numFmtId="0" fontId="5" fillId="7" borderId="5" xfId="8" applyFill="1" applyBorder="1"/>
    <xf numFmtId="9" fontId="14" fillId="5" borderId="48" xfId="8" applyNumberFormat="1" applyFont="1" applyFill="1" applyBorder="1" applyAlignment="1" applyProtection="1">
      <alignment horizontal="center"/>
      <protection locked="0"/>
    </xf>
    <xf numFmtId="170" fontId="5" fillId="22" borderId="1" xfId="8" applyNumberFormat="1" applyFill="1" applyBorder="1"/>
    <xf numFmtId="170" fontId="5" fillId="23" borderId="0" xfId="8" applyNumberFormat="1" applyFill="1"/>
    <xf numFmtId="170" fontId="5" fillId="0" borderId="5" xfId="8" applyNumberFormat="1" applyBorder="1"/>
    <xf numFmtId="10" fontId="5" fillId="22" borderId="4" xfId="8" applyNumberFormat="1" applyFill="1" applyBorder="1" applyAlignment="1">
      <alignment horizontal="center"/>
    </xf>
    <xf numFmtId="10" fontId="5" fillId="22" borderId="5" xfId="8" applyNumberFormat="1" applyFill="1" applyBorder="1" applyAlignment="1">
      <alignment horizontal="center"/>
    </xf>
    <xf numFmtId="10" fontId="5" fillId="23" borderId="0" xfId="8" applyNumberFormat="1" applyFill="1" applyAlignment="1">
      <alignment horizontal="center"/>
    </xf>
    <xf numFmtId="10" fontId="5" fillId="25" borderId="4" xfId="8" applyNumberFormat="1" applyFill="1" applyBorder="1" applyAlignment="1">
      <alignment horizontal="center"/>
    </xf>
    <xf numFmtId="170" fontId="5" fillId="22" borderId="4" xfId="8" applyNumberFormat="1" applyFill="1" applyBorder="1" applyAlignment="1">
      <alignment horizontal="center"/>
    </xf>
    <xf numFmtId="0" fontId="5" fillId="23" borderId="0" xfId="8" applyFill="1" applyAlignment="1">
      <alignment horizontal="center"/>
    </xf>
    <xf numFmtId="0" fontId="5" fillId="0" borderId="5" xfId="8" applyBorder="1" applyAlignment="1">
      <alignment horizontal="center"/>
    </xf>
    <xf numFmtId="170" fontId="5" fillId="22" borderId="6" xfId="8" applyNumberFormat="1" applyFill="1" applyBorder="1" applyAlignment="1">
      <alignment horizontal="center"/>
    </xf>
    <xf numFmtId="170" fontId="5" fillId="22" borderId="8" xfId="8" applyNumberFormat="1" applyFill="1" applyBorder="1" applyAlignment="1">
      <alignment horizontal="center"/>
    </xf>
    <xf numFmtId="170" fontId="5" fillId="23" borderId="0" xfId="8" applyNumberFormat="1" applyFill="1" applyAlignment="1">
      <alignment horizontal="center"/>
    </xf>
    <xf numFmtId="170" fontId="5" fillId="0" borderId="5" xfId="8" applyNumberFormat="1" applyBorder="1" applyAlignment="1">
      <alignment horizontal="center"/>
    </xf>
    <xf numFmtId="0" fontId="9" fillId="25" borderId="0" xfId="8" applyFont="1" applyFill="1" applyAlignment="1">
      <alignment horizontal="center"/>
    </xf>
    <xf numFmtId="0" fontId="9" fillId="25" borderId="0" xfId="8" applyFont="1" applyFill="1"/>
    <xf numFmtId="170" fontId="5" fillId="25" borderId="0" xfId="8" applyNumberFormat="1" applyFill="1" applyAlignment="1">
      <alignment horizontal="center"/>
    </xf>
    <xf numFmtId="9" fontId="5" fillId="25" borderId="0" xfId="8" applyNumberFormat="1" applyFill="1" applyAlignment="1">
      <alignment horizontal="center"/>
    </xf>
    <xf numFmtId="170" fontId="9" fillId="25" borderId="0" xfId="8" applyNumberFormat="1" applyFont="1" applyFill="1" applyAlignment="1">
      <alignment horizontal="center"/>
    </xf>
    <xf numFmtId="0" fontId="55" fillId="17" borderId="64" xfId="8" applyFont="1" applyFill="1" applyBorder="1"/>
    <xf numFmtId="0" fontId="55" fillId="17" borderId="65" xfId="8" applyFont="1" applyFill="1" applyBorder="1"/>
    <xf numFmtId="165" fontId="55" fillId="17" borderId="1" xfId="125" applyNumberFormat="1" applyFont="1" applyFill="1" applyBorder="1"/>
    <xf numFmtId="9" fontId="80" fillId="17" borderId="3" xfId="11" applyFont="1" applyFill="1" applyBorder="1"/>
    <xf numFmtId="179" fontId="55" fillId="6" borderId="64" xfId="8" applyNumberFormat="1" applyFont="1" applyFill="1" applyBorder="1" applyAlignment="1">
      <alignment horizontal="center"/>
    </xf>
    <xf numFmtId="9" fontId="55" fillId="6" borderId="65" xfId="11" applyFont="1" applyFill="1" applyBorder="1" applyAlignment="1">
      <alignment horizontal="center"/>
    </xf>
    <xf numFmtId="165" fontId="55" fillId="7" borderId="4" xfId="125" applyNumberFormat="1" applyFont="1" applyFill="1" applyBorder="1"/>
    <xf numFmtId="9" fontId="80" fillId="7" borderId="5" xfId="11" applyFont="1" applyFill="1" applyBorder="1"/>
    <xf numFmtId="9" fontId="5" fillId="0" borderId="0" xfId="11" applyFont="1" applyFill="1" applyBorder="1"/>
    <xf numFmtId="0" fontId="55" fillId="17" borderId="6" xfId="8" applyFont="1" applyFill="1" applyBorder="1"/>
    <xf numFmtId="0" fontId="55" fillId="17" borderId="8" xfId="8" applyFont="1" applyFill="1" applyBorder="1"/>
    <xf numFmtId="9" fontId="80" fillId="17" borderId="65" xfId="11" applyFont="1" applyFill="1" applyBorder="1" applyAlignment="1">
      <alignment horizontal="center"/>
    </xf>
    <xf numFmtId="9" fontId="80" fillId="7" borderId="5" xfId="11" applyFont="1" applyFill="1" applyBorder="1" applyAlignment="1">
      <alignment horizontal="center"/>
    </xf>
    <xf numFmtId="170" fontId="56" fillId="0" borderId="0" xfId="8" applyNumberFormat="1" applyFont="1"/>
    <xf numFmtId="0" fontId="5" fillId="0" borderId="4" xfId="8" applyBorder="1" applyAlignment="1">
      <alignment horizontal="center"/>
    </xf>
    <xf numFmtId="10" fontId="31" fillId="6" borderId="8" xfId="11" applyNumberFormat="1" applyFont="1" applyFill="1" applyBorder="1" applyAlignment="1">
      <alignment horizontal="center"/>
    </xf>
    <xf numFmtId="10" fontId="43" fillId="11" borderId="5" xfId="11" applyNumberFormat="1" applyFont="1" applyFill="1" applyBorder="1" applyAlignment="1" applyProtection="1">
      <alignment horizontal="center"/>
    </xf>
    <xf numFmtId="10" fontId="5" fillId="11" borderId="5" xfId="11" applyNumberFormat="1" applyFill="1" applyBorder="1" applyAlignment="1" applyProtection="1">
      <alignment horizontal="center"/>
    </xf>
    <xf numFmtId="10" fontId="5" fillId="11" borderId="5" xfId="11" applyNumberFormat="1" applyFont="1" applyFill="1" applyBorder="1" applyAlignment="1" applyProtection="1">
      <alignment horizontal="center"/>
    </xf>
    <xf numFmtId="10" fontId="43" fillId="0" borderId="65" xfId="11" applyNumberFormat="1" applyFont="1" applyBorder="1" applyAlignment="1" applyProtection="1">
      <alignment horizontal="center"/>
    </xf>
    <xf numFmtId="10" fontId="43" fillId="0" borderId="5" xfId="11" applyNumberFormat="1" applyFont="1" applyBorder="1" applyAlignment="1" applyProtection="1">
      <alignment horizontal="center"/>
    </xf>
    <xf numFmtId="10" fontId="43" fillId="0" borderId="5" xfId="11" applyNumberFormat="1" applyFont="1" applyFill="1" applyBorder="1" applyAlignment="1" applyProtection="1">
      <alignment horizontal="center"/>
    </xf>
    <xf numFmtId="10" fontId="5" fillId="0" borderId="5" xfId="11" applyNumberFormat="1" applyFont="1" applyFill="1" applyBorder="1" applyAlignment="1">
      <alignment horizontal="center"/>
    </xf>
    <xf numFmtId="10" fontId="55" fillId="17" borderId="8" xfId="11" applyNumberFormat="1" applyFont="1" applyFill="1" applyBorder="1" applyAlignment="1">
      <alignment horizontal="center"/>
    </xf>
    <xf numFmtId="179" fontId="55" fillId="11" borderId="4" xfId="8" applyNumberFormat="1" applyFont="1" applyFill="1" applyBorder="1" applyAlignment="1">
      <alignment horizontal="center"/>
    </xf>
    <xf numFmtId="9" fontId="55" fillId="11" borderId="5" xfId="11" applyFont="1" applyFill="1" applyBorder="1" applyAlignment="1">
      <alignment horizontal="center"/>
    </xf>
    <xf numFmtId="10" fontId="5" fillId="11" borderId="5" xfId="11" applyNumberFormat="1" applyFont="1" applyFill="1" applyBorder="1" applyAlignment="1">
      <alignment horizontal="center"/>
    </xf>
    <xf numFmtId="10" fontId="55" fillId="6" borderId="65" xfId="11" applyNumberFormat="1" applyFont="1" applyFill="1" applyBorder="1" applyAlignment="1">
      <alignment horizontal="center"/>
    </xf>
    <xf numFmtId="10" fontId="55" fillId="11" borderId="5" xfId="11" applyNumberFormat="1" applyFont="1" applyFill="1" applyBorder="1" applyAlignment="1">
      <alignment horizontal="center"/>
    </xf>
    <xf numFmtId="0" fontId="55" fillId="17" borderId="13" xfId="8" applyFont="1" applyFill="1" applyBorder="1"/>
    <xf numFmtId="0" fontId="55" fillId="17" borderId="28" xfId="8" applyFont="1" applyFill="1" applyBorder="1"/>
    <xf numFmtId="0" fontId="55" fillId="17" borderId="82" xfId="8" applyFont="1" applyFill="1" applyBorder="1"/>
    <xf numFmtId="0" fontId="9" fillId="0" borderId="0" xfId="8" applyFont="1" applyBorder="1" applyAlignment="1">
      <alignment horizontal="left"/>
    </xf>
    <xf numFmtId="0" fontId="9" fillId="0" borderId="0" xfId="8" applyFont="1" applyBorder="1"/>
    <xf numFmtId="0" fontId="5" fillId="0" borderId="0" xfId="8" applyBorder="1"/>
    <xf numFmtId="168" fontId="78" fillId="0" borderId="0" xfId="125" applyNumberFormat="1" applyFont="1" applyBorder="1" applyProtection="1"/>
    <xf numFmtId="10" fontId="5" fillId="0" borderId="0" xfId="11" applyNumberFormat="1" applyBorder="1" applyProtection="1"/>
    <xf numFmtId="168" fontId="5" fillId="0" borderId="0" xfId="125" applyNumberFormat="1" applyFont="1" applyBorder="1" applyProtection="1"/>
    <xf numFmtId="9" fontId="5" fillId="0" borderId="0" xfId="11" applyBorder="1" applyProtection="1"/>
    <xf numFmtId="0" fontId="5" fillId="7" borderId="0" xfId="8" applyFill="1" applyBorder="1"/>
    <xf numFmtId="168" fontId="79" fillId="7" borderId="0" xfId="8" applyNumberFormat="1" applyFont="1" applyFill="1" applyBorder="1"/>
    <xf numFmtId="9" fontId="79" fillId="7" borderId="0" xfId="11" applyFont="1" applyFill="1" applyBorder="1" applyProtection="1"/>
    <xf numFmtId="10" fontId="5" fillId="0" borderId="0" xfId="11" applyNumberFormat="1" applyBorder="1" applyAlignment="1" applyProtection="1">
      <alignment horizontal="center"/>
    </xf>
    <xf numFmtId="10" fontId="5" fillId="7" borderId="0" xfId="11" applyNumberFormat="1" applyFill="1" applyBorder="1" applyAlignment="1" applyProtection="1">
      <alignment horizontal="center"/>
    </xf>
    <xf numFmtId="10" fontId="5" fillId="0" borderId="0" xfId="8" applyNumberFormat="1" applyBorder="1" applyAlignment="1">
      <alignment horizontal="center"/>
    </xf>
    <xf numFmtId="10" fontId="5" fillId="7" borderId="0" xfId="8" applyNumberFormat="1" applyFill="1" applyBorder="1" applyAlignment="1">
      <alignment horizontal="center"/>
    </xf>
    <xf numFmtId="10" fontId="0" fillId="0" borderId="0" xfId="11" applyNumberFormat="1" applyFont="1" applyBorder="1" applyAlignment="1" applyProtection="1">
      <alignment horizontal="center"/>
    </xf>
    <xf numFmtId="0" fontId="55" fillId="7" borderId="0" xfId="8" applyFont="1" applyFill="1" applyBorder="1"/>
    <xf numFmtId="10" fontId="55" fillId="7" borderId="0" xfId="11" applyNumberFormat="1" applyFont="1" applyFill="1" applyBorder="1" applyAlignment="1" applyProtection="1">
      <alignment horizontal="center"/>
    </xf>
    <xf numFmtId="10" fontId="5" fillId="7" borderId="0" xfId="11" applyNumberFormat="1" applyFont="1" applyFill="1" applyBorder="1" applyAlignment="1" applyProtection="1">
      <alignment horizontal="center"/>
    </xf>
    <xf numFmtId="10" fontId="55" fillId="7" borderId="83" xfId="11" applyNumberFormat="1" applyFont="1" applyFill="1" applyBorder="1" applyAlignment="1" applyProtection="1">
      <alignment horizontal="center"/>
    </xf>
    <xf numFmtId="0" fontId="82" fillId="6" borderId="13" xfId="8" applyFont="1" applyFill="1" applyBorder="1"/>
    <xf numFmtId="0" fontId="82" fillId="6" borderId="28" xfId="8" applyFont="1" applyFill="1" applyBorder="1"/>
    <xf numFmtId="10" fontId="82" fillId="6" borderId="28" xfId="11" applyNumberFormat="1" applyFont="1" applyFill="1" applyBorder="1" applyAlignment="1" applyProtection="1">
      <alignment horizontal="center"/>
    </xf>
    <xf numFmtId="0" fontId="5" fillId="11" borderId="5" xfId="8" applyFill="1" applyBorder="1"/>
    <xf numFmtId="10" fontId="0" fillId="11" borderId="5" xfId="11" applyNumberFormat="1" applyFont="1" applyFill="1" applyBorder="1" applyAlignment="1" applyProtection="1">
      <alignment horizontal="center"/>
    </xf>
    <xf numFmtId="0" fontId="32" fillId="6" borderId="13" xfId="8" applyFont="1" applyFill="1" applyBorder="1"/>
    <xf numFmtId="0" fontId="31" fillId="6" borderId="28" xfId="8" applyFont="1" applyFill="1" applyBorder="1"/>
    <xf numFmtId="10" fontId="32" fillId="6" borderId="28" xfId="11" applyNumberFormat="1" applyFont="1" applyFill="1" applyBorder="1" applyAlignment="1" applyProtection="1">
      <alignment horizontal="center"/>
    </xf>
    <xf numFmtId="168" fontId="32" fillId="6" borderId="78" xfId="125" applyNumberFormat="1" applyFont="1" applyFill="1" applyBorder="1" applyAlignment="1" applyProtection="1">
      <alignment horizontal="center"/>
    </xf>
    <xf numFmtId="10" fontId="32" fillId="6" borderId="79" xfId="11" applyNumberFormat="1" applyFont="1" applyFill="1" applyBorder="1" applyAlignment="1" applyProtection="1">
      <alignment horizontal="center"/>
    </xf>
    <xf numFmtId="168" fontId="32" fillId="6" borderId="76" xfId="8" applyNumberFormat="1" applyFont="1" applyFill="1" applyBorder="1"/>
    <xf numFmtId="9" fontId="32" fillId="6" borderId="77" xfId="11" applyFont="1" applyFill="1" applyBorder="1" applyProtection="1"/>
    <xf numFmtId="10" fontId="32" fillId="6" borderId="28" xfId="8" applyNumberFormat="1" applyFont="1" applyFill="1" applyBorder="1" applyAlignment="1">
      <alignment horizontal="center"/>
    </xf>
    <xf numFmtId="0" fontId="31" fillId="6" borderId="13" xfId="8" applyFont="1" applyFill="1" applyBorder="1" applyAlignment="1">
      <alignment horizontal="left"/>
    </xf>
    <xf numFmtId="0" fontId="31" fillId="6" borderId="13" xfId="8" applyFont="1" applyFill="1" applyBorder="1"/>
    <xf numFmtId="0" fontId="31" fillId="6" borderId="76" xfId="8" applyFont="1" applyFill="1" applyBorder="1"/>
    <xf numFmtId="0" fontId="31" fillId="6" borderId="77" xfId="8" applyFont="1" applyFill="1" applyBorder="1"/>
    <xf numFmtId="0" fontId="31" fillId="6" borderId="4" xfId="8" applyFont="1" applyFill="1" applyBorder="1"/>
    <xf numFmtId="10" fontId="0" fillId="6" borderId="28" xfId="11" applyNumberFormat="1" applyFont="1" applyFill="1" applyBorder="1" applyAlignment="1" applyProtection="1">
      <alignment horizontal="center"/>
    </xf>
    <xf numFmtId="10" fontId="55" fillId="6" borderId="48" xfId="8" applyNumberFormat="1" applyFont="1" applyFill="1" applyBorder="1" applyAlignment="1">
      <alignment horizontal="center"/>
    </xf>
    <xf numFmtId="9" fontId="5" fillId="0" borderId="0" xfId="11" applyFill="1" applyBorder="1" applyAlignment="1">
      <alignment horizontal="center"/>
    </xf>
    <xf numFmtId="9" fontId="5" fillId="0" borderId="0" xfId="11" applyFont="1" applyFill="1" applyBorder="1" applyAlignment="1">
      <alignment horizontal="center"/>
    </xf>
    <xf numFmtId="10" fontId="5" fillId="7" borderId="0" xfId="11" applyNumberFormat="1" applyFont="1" applyFill="1" applyBorder="1" applyAlignment="1">
      <alignment horizontal="center"/>
    </xf>
    <xf numFmtId="170" fontId="5" fillId="0" borderId="3" xfId="8" applyNumberFormat="1" applyBorder="1"/>
    <xf numFmtId="10" fontId="9" fillId="0" borderId="5" xfId="8" applyNumberFormat="1" applyFont="1" applyBorder="1"/>
    <xf numFmtId="0" fontId="5" fillId="0" borderId="8" xfId="8" applyNumberFormat="1" applyBorder="1" applyAlignment="1">
      <alignment horizontal="center"/>
    </xf>
    <xf numFmtId="0" fontId="66" fillId="17" borderId="84" xfId="8" applyFont="1" applyFill="1" applyBorder="1"/>
    <xf numFmtId="167" fontId="66" fillId="17" borderId="13" xfId="125" applyFont="1" applyFill="1" applyBorder="1"/>
    <xf numFmtId="10" fontId="67" fillId="17" borderId="28" xfId="11" applyNumberFormat="1" applyFont="1" applyFill="1" applyBorder="1"/>
    <xf numFmtId="167" fontId="67" fillId="17" borderId="13" xfId="125" applyFont="1" applyFill="1" applyBorder="1"/>
    <xf numFmtId="10" fontId="67" fillId="17" borderId="28" xfId="8" applyNumberFormat="1" applyFont="1" applyFill="1" applyBorder="1"/>
    <xf numFmtId="0" fontId="31" fillId="6" borderId="66" xfId="8" applyFont="1" applyFill="1" applyBorder="1"/>
    <xf numFmtId="0" fontId="32" fillId="6" borderId="69" xfId="8" applyFont="1" applyFill="1" applyBorder="1"/>
    <xf numFmtId="167" fontId="31" fillId="6" borderId="67" xfId="125" applyFont="1" applyFill="1" applyBorder="1"/>
    <xf numFmtId="10" fontId="31" fillId="6" borderId="68" xfId="8" applyNumberFormat="1" applyFont="1" applyFill="1" applyBorder="1"/>
    <xf numFmtId="167" fontId="32" fillId="6" borderId="70" xfId="125" applyFont="1" applyFill="1" applyBorder="1"/>
    <xf numFmtId="10" fontId="32" fillId="6" borderId="71" xfId="8" applyNumberFormat="1" applyFont="1" applyFill="1" applyBorder="1"/>
    <xf numFmtId="166" fontId="32" fillId="6" borderId="70" xfId="125" applyNumberFormat="1" applyFont="1" applyFill="1" applyBorder="1"/>
    <xf numFmtId="170" fontId="49" fillId="24" borderId="1" xfId="8" applyNumberFormat="1" applyFont="1" applyFill="1" applyBorder="1"/>
    <xf numFmtId="177" fontId="58" fillId="22" borderId="3" xfId="8" applyNumberFormat="1" applyFont="1" applyFill="1" applyBorder="1"/>
    <xf numFmtId="0" fontId="9" fillId="7" borderId="0" xfId="8" applyFont="1" applyFill="1" applyBorder="1"/>
    <xf numFmtId="0" fontId="31" fillId="7" borderId="0" xfId="8" applyFont="1" applyFill="1" applyBorder="1"/>
    <xf numFmtId="10" fontId="31" fillId="7" borderId="0" xfId="11" applyNumberFormat="1" applyFont="1" applyFill="1" applyBorder="1" applyAlignment="1">
      <alignment horizontal="center"/>
    </xf>
    <xf numFmtId="0" fontId="5" fillId="7" borderId="0" xfId="8" applyFill="1" applyBorder="1" applyAlignment="1">
      <alignment horizontal="center"/>
    </xf>
    <xf numFmtId="0" fontId="5" fillId="7" borderId="51" xfId="8" applyFill="1" applyBorder="1" applyAlignment="1">
      <alignment horizontal="center"/>
    </xf>
    <xf numFmtId="0" fontId="5" fillId="7" borderId="5" xfId="8" applyFill="1" applyBorder="1" applyAlignment="1">
      <alignment horizontal="center"/>
    </xf>
    <xf numFmtId="0" fontId="5" fillId="7" borderId="4" xfId="8" applyFill="1" applyBorder="1" applyAlignment="1">
      <alignment horizontal="center"/>
    </xf>
    <xf numFmtId="10" fontId="31" fillId="26" borderId="3" xfId="11" applyNumberFormat="1" applyFont="1" applyFill="1" applyBorder="1" applyAlignment="1">
      <alignment horizontal="center"/>
    </xf>
    <xf numFmtId="10" fontId="31" fillId="26" borderId="8" xfId="8" applyNumberFormat="1" applyFont="1" applyFill="1" applyBorder="1" applyAlignment="1">
      <alignment horizontal="center"/>
    </xf>
    <xf numFmtId="181" fontId="49" fillId="5" borderId="48" xfId="8" applyNumberFormat="1" applyFont="1" applyFill="1" applyBorder="1" applyAlignment="1">
      <alignment horizontal="center"/>
    </xf>
    <xf numFmtId="180" fontId="36" fillId="5" borderId="48" xfId="8" applyNumberFormat="1" applyFont="1" applyFill="1" applyBorder="1" applyAlignment="1" applyProtection="1">
      <alignment horizontal="center"/>
    </xf>
    <xf numFmtId="0" fontId="55" fillId="17" borderId="48" xfId="8" applyFont="1" applyFill="1" applyBorder="1"/>
    <xf numFmtId="167" fontId="55" fillId="17" borderId="13" xfId="8" applyNumberFormat="1" applyFont="1" applyFill="1" applyBorder="1"/>
    <xf numFmtId="10" fontId="55" fillId="17" borderId="28" xfId="8" applyNumberFormat="1" applyFont="1" applyFill="1" applyBorder="1"/>
    <xf numFmtId="166" fontId="55" fillId="17" borderId="13" xfId="6" applyNumberFormat="1" applyFont="1" applyFill="1" applyBorder="1"/>
    <xf numFmtId="167" fontId="31" fillId="6" borderId="13" xfId="6" applyFont="1" applyFill="1" applyBorder="1"/>
    <xf numFmtId="10" fontId="31" fillId="6" borderId="28" xfId="8" applyNumberFormat="1" applyFont="1" applyFill="1" applyBorder="1"/>
    <xf numFmtId="177" fontId="58" fillId="14" borderId="3" xfId="8" applyNumberFormat="1" applyFont="1" applyFill="1" applyBorder="1"/>
    <xf numFmtId="170" fontId="49" fillId="14" borderId="1" xfId="8" applyNumberFormat="1" applyFont="1" applyFill="1" applyBorder="1"/>
    <xf numFmtId="0" fontId="49" fillId="0" borderId="51" xfId="8" applyFont="1" applyBorder="1"/>
    <xf numFmtId="178" fontId="52" fillId="15" borderId="3" xfId="125" applyNumberFormat="1" applyFont="1" applyFill="1" applyBorder="1"/>
    <xf numFmtId="170" fontId="49" fillId="14" borderId="1" xfId="8" applyNumberFormat="1" applyFont="1" applyFill="1" applyBorder="1" applyAlignment="1">
      <alignment horizontal="center"/>
    </xf>
    <xf numFmtId="165" fontId="49" fillId="15" borderId="52" xfId="8" applyNumberFormat="1" applyFont="1" applyFill="1" applyBorder="1" applyAlignment="1">
      <alignment horizontal="center" vertical="justify" wrapText="1"/>
    </xf>
    <xf numFmtId="170" fontId="49" fillId="15" borderId="1" xfId="8" applyNumberFormat="1" applyFont="1" applyFill="1" applyBorder="1" applyAlignment="1">
      <alignment horizontal="center"/>
    </xf>
    <xf numFmtId="10" fontId="49" fillId="15" borderId="4" xfId="8" applyNumberFormat="1" applyFont="1" applyFill="1" applyBorder="1" applyAlignment="1">
      <alignment horizontal="center"/>
    </xf>
    <xf numFmtId="171" fontId="49" fillId="19" borderId="4" xfId="8" applyNumberFormat="1" applyFont="1" applyFill="1" applyBorder="1" applyAlignment="1">
      <alignment horizontal="center"/>
    </xf>
    <xf numFmtId="0" fontId="49" fillId="15" borderId="6" xfId="8" applyNumberFormat="1" applyFont="1" applyFill="1" applyBorder="1" applyAlignment="1">
      <alignment horizontal="center"/>
    </xf>
    <xf numFmtId="0" fontId="49" fillId="15" borderId="8" xfId="8" applyNumberFormat="1" applyFont="1" applyFill="1" applyBorder="1" applyAlignment="1">
      <alignment horizontal="center"/>
    </xf>
    <xf numFmtId="3" fontId="49" fillId="15" borderId="51" xfId="8" applyNumberFormat="1" applyFont="1" applyFill="1" applyBorder="1" applyAlignment="1">
      <alignment horizontal="center"/>
    </xf>
    <xf numFmtId="170" fontId="49" fillId="15" borderId="5" xfId="8" applyNumberFormat="1" applyFont="1" applyFill="1" applyBorder="1"/>
    <xf numFmtId="10" fontId="49" fillId="15" borderId="5" xfId="8" applyNumberFormat="1" applyFont="1" applyFill="1" applyBorder="1"/>
    <xf numFmtId="10" fontId="49" fillId="15" borderId="8" xfId="8" applyNumberFormat="1" applyFont="1" applyFill="1" applyBorder="1" applyAlignment="1">
      <alignment horizontal="center"/>
    </xf>
    <xf numFmtId="170" fontId="49" fillId="15" borderId="1" xfId="8" applyNumberFormat="1" applyFont="1" applyFill="1" applyBorder="1"/>
    <xf numFmtId="178" fontId="52" fillId="14" borderId="3" xfId="125" applyNumberFormat="1" applyFont="1" applyFill="1" applyBorder="1"/>
    <xf numFmtId="170" fontId="49" fillId="14" borderId="5" xfId="8" applyNumberFormat="1" applyFont="1" applyFill="1" applyBorder="1"/>
    <xf numFmtId="10" fontId="49" fillId="14" borderId="5" xfId="8" applyNumberFormat="1" applyFont="1" applyFill="1" applyBorder="1"/>
    <xf numFmtId="0" fontId="49" fillId="15" borderId="4" xfId="8" applyFont="1" applyFill="1" applyBorder="1" applyAlignment="1">
      <alignment horizontal="center"/>
    </xf>
    <xf numFmtId="0" fontId="49" fillId="15" borderId="5" xfId="8" applyFont="1" applyFill="1" applyBorder="1" applyAlignment="1">
      <alignment horizontal="center"/>
    </xf>
    <xf numFmtId="10" fontId="49" fillId="15" borderId="5" xfId="8" applyNumberFormat="1" applyFont="1" applyFill="1" applyBorder="1" applyAlignment="1">
      <alignment horizontal="center"/>
    </xf>
    <xf numFmtId="170" fontId="49" fillId="14" borderId="5" xfId="8" applyNumberFormat="1" applyFont="1" applyFill="1" applyBorder="1" applyAlignment="1">
      <alignment horizontal="center"/>
    </xf>
    <xf numFmtId="10" fontId="49" fillId="14" borderId="4" xfId="8" applyNumberFormat="1" applyFont="1" applyFill="1" applyBorder="1" applyAlignment="1">
      <alignment horizontal="center"/>
    </xf>
    <xf numFmtId="10" fontId="49" fillId="14" borderId="5" xfId="8" applyNumberFormat="1" applyFont="1" applyFill="1" applyBorder="1" applyAlignment="1">
      <alignment horizontal="center"/>
    </xf>
    <xf numFmtId="0" fontId="49" fillId="14" borderId="6" xfId="8" applyFont="1" applyFill="1" applyBorder="1" applyAlignment="1">
      <alignment horizontal="center"/>
    </xf>
    <xf numFmtId="0" fontId="49" fillId="14" borderId="8" xfId="8" applyFont="1" applyFill="1" applyBorder="1" applyAlignment="1">
      <alignment horizontal="center"/>
    </xf>
    <xf numFmtId="170" fontId="31" fillId="6" borderId="1" xfId="8" applyNumberFormat="1" applyFont="1" applyFill="1" applyBorder="1" applyAlignment="1">
      <alignment horizontal="center"/>
    </xf>
    <xf numFmtId="170" fontId="31" fillId="6" borderId="5" xfId="8" applyNumberFormat="1" applyFont="1" applyFill="1" applyBorder="1" applyAlignment="1">
      <alignment horizontal="center"/>
    </xf>
    <xf numFmtId="0" fontId="31" fillId="6" borderId="8" xfId="8" applyFont="1" applyFill="1" applyBorder="1" applyAlignment="1">
      <alignment horizontal="center"/>
    </xf>
    <xf numFmtId="170" fontId="49" fillId="22" borderId="1" xfId="8" applyNumberFormat="1" applyFont="1" applyFill="1" applyBorder="1"/>
    <xf numFmtId="10" fontId="49" fillId="22" borderId="4" xfId="8" applyNumberFormat="1" applyFont="1" applyFill="1" applyBorder="1" applyAlignment="1">
      <alignment horizontal="center"/>
    </xf>
    <xf numFmtId="10" fontId="49" fillId="22" borderId="5" xfId="8" applyNumberFormat="1" applyFont="1" applyFill="1" applyBorder="1" applyAlignment="1">
      <alignment horizontal="center"/>
    </xf>
    <xf numFmtId="170" fontId="49" fillId="22" borderId="4" xfId="8" applyNumberFormat="1" applyFont="1" applyFill="1" applyBorder="1" applyAlignment="1">
      <alignment horizontal="center"/>
    </xf>
    <xf numFmtId="0" fontId="49" fillId="22" borderId="5" xfId="8" applyFont="1" applyFill="1" applyBorder="1" applyAlignment="1">
      <alignment horizontal="center"/>
    </xf>
    <xf numFmtId="170" fontId="49" fillId="22" borderId="6" xfId="8" applyNumberFormat="1" applyFont="1" applyFill="1" applyBorder="1" applyAlignment="1">
      <alignment horizontal="center"/>
    </xf>
    <xf numFmtId="9" fontId="49" fillId="22" borderId="8" xfId="8" applyNumberFormat="1" applyFont="1" applyFill="1" applyBorder="1" applyAlignment="1">
      <alignment horizontal="center"/>
    </xf>
    <xf numFmtId="170" fontId="49" fillId="19" borderId="8" xfId="8" applyNumberFormat="1" applyFont="1" applyFill="1" applyBorder="1" applyAlignment="1">
      <alignment horizontal="center"/>
    </xf>
    <xf numFmtId="170" fontId="49" fillId="22" borderId="8" xfId="8" applyNumberFormat="1" applyFont="1" applyFill="1" applyBorder="1" applyAlignment="1">
      <alignment horizontal="center"/>
    </xf>
    <xf numFmtId="170" fontId="49" fillId="0" borderId="0" xfId="8" applyNumberFormat="1" applyFont="1"/>
    <xf numFmtId="10" fontId="49" fillId="0" borderId="0" xfId="8" applyNumberFormat="1" applyFont="1" applyAlignment="1">
      <alignment horizontal="center"/>
    </xf>
    <xf numFmtId="0" fontId="49" fillId="0" borderId="0" xfId="8" applyFont="1" applyAlignment="1">
      <alignment horizontal="center"/>
    </xf>
    <xf numFmtId="10" fontId="49" fillId="24" borderId="5" xfId="8" applyNumberFormat="1" applyFont="1" applyFill="1" applyBorder="1" applyAlignment="1">
      <alignment horizontal="center"/>
    </xf>
    <xf numFmtId="170" fontId="49" fillId="24" borderId="4" xfId="8" applyNumberFormat="1" applyFont="1" applyFill="1" applyBorder="1" applyAlignment="1">
      <alignment horizontal="center"/>
    </xf>
    <xf numFmtId="170" fontId="49" fillId="24" borderId="6" xfId="8" applyNumberFormat="1" applyFont="1" applyFill="1" applyBorder="1" applyAlignment="1">
      <alignment horizontal="center"/>
    </xf>
    <xf numFmtId="9" fontId="49" fillId="24" borderId="8" xfId="8" applyNumberFormat="1" applyFont="1" applyFill="1" applyBorder="1" applyAlignment="1">
      <alignment horizontal="center"/>
    </xf>
    <xf numFmtId="170" fontId="49" fillId="14" borderId="4" xfId="8" applyNumberFormat="1" applyFont="1" applyFill="1" applyBorder="1" applyAlignment="1">
      <alignment horizontal="center"/>
    </xf>
    <xf numFmtId="170" fontId="49" fillId="14" borderId="6" xfId="8" applyNumberFormat="1" applyFont="1" applyFill="1" applyBorder="1" applyAlignment="1">
      <alignment horizontal="center"/>
    </xf>
    <xf numFmtId="9" fontId="49" fillId="14" borderId="8" xfId="11" applyFont="1" applyFill="1" applyBorder="1" applyAlignment="1" applyProtection="1">
      <alignment horizontal="center"/>
    </xf>
    <xf numFmtId="170" fontId="49" fillId="15" borderId="8" xfId="8" applyNumberFormat="1" applyFont="1" applyFill="1" applyBorder="1" applyAlignment="1">
      <alignment horizontal="center"/>
    </xf>
    <xf numFmtId="170" fontId="49" fillId="14" borderId="8" xfId="8" applyNumberFormat="1" applyFont="1" applyFill="1" applyBorder="1" applyAlignment="1">
      <alignment horizontal="center"/>
    </xf>
    <xf numFmtId="170" fontId="49" fillId="15" borderId="6" xfId="8" applyNumberFormat="1" applyFont="1" applyFill="1" applyBorder="1" applyAlignment="1">
      <alignment horizontal="center"/>
    </xf>
    <xf numFmtId="170" fontId="49" fillId="0" borderId="0" xfId="8" applyNumberFormat="1" applyFont="1" applyAlignment="1">
      <alignment horizontal="center"/>
    </xf>
    <xf numFmtId="170" fontId="49" fillId="0" borderId="51" xfId="8" applyNumberFormat="1" applyFont="1" applyBorder="1"/>
    <xf numFmtId="10" fontId="49" fillId="0" borderId="51" xfId="8" applyNumberFormat="1" applyFont="1" applyBorder="1" applyAlignment="1">
      <alignment horizontal="center"/>
    </xf>
    <xf numFmtId="0" fontId="49" fillId="0" borderId="51" xfId="8" applyFont="1" applyBorder="1" applyAlignment="1">
      <alignment horizontal="center"/>
    </xf>
    <xf numFmtId="170" fontId="49" fillId="0" borderId="51" xfId="8" applyNumberFormat="1" applyFont="1" applyBorder="1" applyAlignment="1">
      <alignment horizontal="center"/>
    </xf>
    <xf numFmtId="170" fontId="49" fillId="11" borderId="1" xfId="8" applyNumberFormat="1" applyFont="1" applyFill="1" applyBorder="1"/>
    <xf numFmtId="177" fontId="58" fillId="11" borderId="3" xfId="8" applyNumberFormat="1" applyFont="1" applyFill="1" applyBorder="1"/>
    <xf numFmtId="10" fontId="36" fillId="11" borderId="4" xfId="8" applyNumberFormat="1" applyFont="1" applyFill="1" applyBorder="1" applyAlignment="1">
      <alignment horizontal="center"/>
    </xf>
    <xf numFmtId="10" fontId="49" fillId="11" borderId="5" xfId="8" applyNumberFormat="1" applyFont="1" applyFill="1" applyBorder="1" applyAlignment="1">
      <alignment horizontal="center"/>
    </xf>
    <xf numFmtId="170" fontId="49" fillId="11" borderId="4" xfId="8" applyNumberFormat="1" applyFont="1" applyFill="1" applyBorder="1" applyAlignment="1">
      <alignment horizontal="center"/>
    </xf>
    <xf numFmtId="0" fontId="49" fillId="27" borderId="5" xfId="8" applyFont="1" applyFill="1" applyBorder="1" applyAlignment="1">
      <alignment horizontal="center"/>
    </xf>
    <xf numFmtId="170" fontId="49" fillId="11" borderId="6" xfId="8" applyNumberFormat="1" applyFont="1" applyFill="1" applyBorder="1" applyAlignment="1">
      <alignment horizontal="center"/>
    </xf>
    <xf numFmtId="9" fontId="49" fillId="11" borderId="8" xfId="11" applyFont="1" applyFill="1" applyBorder="1" applyAlignment="1" applyProtection="1">
      <alignment horizontal="center"/>
    </xf>
    <xf numFmtId="0" fontId="5" fillId="11" borderId="1" xfId="8" applyFill="1" applyBorder="1"/>
    <xf numFmtId="0" fontId="5" fillId="11" borderId="2" xfId="8" applyFill="1" applyBorder="1"/>
    <xf numFmtId="0" fontId="5" fillId="11" borderId="3" xfId="8" applyFill="1" applyBorder="1"/>
    <xf numFmtId="0" fontId="5" fillId="11" borderId="0" xfId="8" applyFill="1"/>
    <xf numFmtId="0" fontId="5" fillId="11" borderId="0" xfId="8" applyFill="1" applyAlignment="1">
      <alignment horizontal="left"/>
    </xf>
    <xf numFmtId="0" fontId="5" fillId="11" borderId="6" xfId="8" applyFill="1" applyBorder="1"/>
    <xf numFmtId="0" fontId="5" fillId="11" borderId="7" xfId="8" applyFill="1" applyBorder="1"/>
    <xf numFmtId="0" fontId="5" fillId="11" borderId="8" xfId="8" applyFill="1" applyBorder="1"/>
    <xf numFmtId="165" fontId="5" fillId="0" borderId="0" xfId="8" applyNumberFormat="1"/>
    <xf numFmtId="3" fontId="5" fillId="0" borderId="0" xfId="8" applyNumberFormat="1"/>
    <xf numFmtId="0" fontId="7" fillId="14" borderId="50" xfId="8" applyFont="1" applyFill="1" applyBorder="1"/>
    <xf numFmtId="0" fontId="7" fillId="14" borderId="51" xfId="8" applyFont="1" applyFill="1" applyBorder="1"/>
    <xf numFmtId="0" fontId="7" fillId="14" borderId="52" xfId="8" applyFont="1" applyFill="1" applyBorder="1"/>
    <xf numFmtId="0" fontId="85" fillId="14" borderId="50" xfId="8" applyFont="1" applyFill="1" applyBorder="1" applyAlignment="1" applyProtection="1">
      <alignment horizontal="left"/>
      <protection locked="0"/>
    </xf>
    <xf numFmtId="0" fontId="85" fillId="14" borderId="51" xfId="8" applyFont="1" applyFill="1" applyBorder="1" applyAlignment="1" applyProtection="1">
      <alignment horizontal="left"/>
      <protection locked="0"/>
    </xf>
    <xf numFmtId="0" fontId="85" fillId="14" borderId="52" xfId="8" applyFont="1" applyFill="1" applyBorder="1" applyAlignment="1" applyProtection="1">
      <alignment horizontal="left"/>
      <protection locked="0"/>
    </xf>
    <xf numFmtId="0" fontId="74" fillId="6" borderId="0" xfId="124" applyNumberFormat="1" applyFont="1" applyFill="1" applyBorder="1" applyAlignment="1">
      <alignment horizontal="center"/>
    </xf>
    <xf numFmtId="165" fontId="35" fillId="11" borderId="0" xfId="124" applyNumberFormat="1" applyFont="1" applyFill="1" applyBorder="1" applyAlignment="1">
      <alignment horizontal="center"/>
    </xf>
    <xf numFmtId="3" fontId="35" fillId="11" borderId="0" xfId="124" applyNumberFormat="1" applyFont="1" applyFill="1" applyBorder="1" applyAlignment="1">
      <alignment horizontal="center"/>
    </xf>
    <xf numFmtId="39" fontId="35" fillId="11" borderId="0" xfId="124" applyNumberFormat="1" applyFont="1" applyFill="1" applyBorder="1" applyAlignment="1" applyProtection="1">
      <alignment horizontal="center"/>
    </xf>
    <xf numFmtId="165" fontId="35" fillId="11" borderId="0" xfId="124" applyNumberFormat="1" applyFont="1" applyFill="1" applyBorder="1" applyAlignment="1" applyProtection="1">
      <alignment horizontal="center"/>
    </xf>
    <xf numFmtId="10" fontId="45" fillId="5" borderId="5" xfId="8" applyNumberFormat="1" applyFont="1" applyFill="1" applyBorder="1" applyProtection="1">
      <protection locked="0"/>
    </xf>
    <xf numFmtId="167" fontId="45" fillId="5" borderId="48" xfId="8" applyNumberFormat="1" applyFont="1" applyFill="1" applyBorder="1" applyAlignment="1" applyProtection="1">
      <protection locked="0"/>
    </xf>
    <xf numFmtId="10" fontId="45" fillId="5" borderId="59" xfId="8" applyNumberFormat="1" applyFont="1" applyFill="1" applyBorder="1" applyProtection="1">
      <protection locked="0"/>
    </xf>
    <xf numFmtId="170" fontId="5" fillId="22" borderId="1" xfId="8" applyNumberFormat="1" applyFill="1" applyBorder="1" applyAlignment="1">
      <alignment horizontal="center"/>
    </xf>
    <xf numFmtId="177" fontId="16" fillId="22" borderId="3" xfId="8" applyNumberFormat="1" applyFont="1" applyFill="1" applyBorder="1"/>
    <xf numFmtId="170" fontId="5" fillId="24" borderId="1" xfId="8" applyNumberFormat="1" applyFill="1" applyBorder="1" applyAlignment="1">
      <alignment horizontal="center"/>
    </xf>
    <xf numFmtId="177" fontId="16" fillId="24" borderId="3" xfId="8" applyNumberFormat="1" applyFont="1" applyFill="1" applyBorder="1"/>
    <xf numFmtId="0" fontId="5" fillId="22" borderId="5" xfId="8" applyFill="1" applyBorder="1"/>
    <xf numFmtId="0" fontId="5" fillId="23" borderId="0" xfId="8" applyFill="1"/>
    <xf numFmtId="10" fontId="5" fillId="24" borderId="4" xfId="8" applyNumberFormat="1" applyFill="1" applyBorder="1" applyAlignment="1">
      <alignment horizontal="center"/>
    </xf>
    <xf numFmtId="0" fontId="5" fillId="24" borderId="5" xfId="8" applyFill="1" applyBorder="1" applyAlignment="1">
      <alignment horizontal="right"/>
    </xf>
    <xf numFmtId="0" fontId="9" fillId="22" borderId="5" xfId="8" applyFont="1" applyFill="1" applyBorder="1" applyAlignment="1">
      <alignment horizontal="center"/>
    </xf>
    <xf numFmtId="170" fontId="9" fillId="22" borderId="4" xfId="8" applyNumberFormat="1" applyFont="1" applyFill="1" applyBorder="1" applyAlignment="1">
      <alignment horizontal="center"/>
    </xf>
    <xf numFmtId="10" fontId="5" fillId="25" borderId="0" xfId="8" applyNumberFormat="1" applyFill="1" applyAlignment="1">
      <alignment horizontal="center"/>
    </xf>
    <xf numFmtId="170" fontId="9" fillId="24" borderId="4" xfId="8" applyNumberFormat="1" applyFont="1" applyFill="1" applyBorder="1" applyAlignment="1">
      <alignment horizontal="center"/>
    </xf>
    <xf numFmtId="49" fontId="5" fillId="0" borderId="0" xfId="8" applyNumberFormat="1"/>
    <xf numFmtId="0" fontId="5" fillId="0" borderId="1" xfId="8" applyBorder="1"/>
    <xf numFmtId="0" fontId="5" fillId="0" borderId="3" xfId="8" applyBorder="1"/>
    <xf numFmtId="0" fontId="16" fillId="0" borderId="5" xfId="8" applyFont="1" applyBorder="1"/>
    <xf numFmtId="0" fontId="9" fillId="0" borderId="4" xfId="8" applyFont="1" applyBorder="1"/>
    <xf numFmtId="10" fontId="43" fillId="7" borderId="85" xfId="11" applyNumberFormat="1" applyFont="1" applyFill="1" applyBorder="1" applyProtection="1"/>
    <xf numFmtId="167" fontId="9" fillId="11" borderId="4" xfId="127" applyFont="1" applyFill="1" applyBorder="1" applyProtection="1"/>
    <xf numFmtId="10" fontId="9" fillId="11" borderId="85" xfId="11" applyNumberFormat="1" applyFont="1" applyFill="1" applyBorder="1" applyProtection="1"/>
    <xf numFmtId="10" fontId="43" fillId="7" borderId="86" xfId="11" applyNumberFormat="1" applyFont="1" applyFill="1" applyBorder="1" applyProtection="1"/>
    <xf numFmtId="9" fontId="0" fillId="0" borderId="0" xfId="11" applyFont="1" applyFill="1" applyBorder="1" applyProtection="1"/>
    <xf numFmtId="10" fontId="14" fillId="0" borderId="5" xfId="11" applyNumberFormat="1" applyFont="1" applyBorder="1" applyProtection="1"/>
    <xf numFmtId="10" fontId="36" fillId="11" borderId="5" xfId="11" applyNumberFormat="1" applyFont="1" applyFill="1" applyBorder="1" applyProtection="1"/>
    <xf numFmtId="167" fontId="55" fillId="17" borderId="13" xfId="8" applyNumberFormat="1" applyFont="1" applyFill="1" applyBorder="1" applyAlignment="1">
      <alignment horizontal="right"/>
    </xf>
    <xf numFmtId="10" fontId="55" fillId="17" borderId="28" xfId="11" applyNumberFormat="1" applyFont="1" applyFill="1" applyBorder="1" applyProtection="1"/>
    <xf numFmtId="182" fontId="0" fillId="0" borderId="0" xfId="127" applyNumberFormat="1" applyFont="1" applyProtection="1"/>
    <xf numFmtId="0" fontId="5" fillId="22" borderId="6" xfId="8" applyNumberFormat="1" applyFill="1" applyBorder="1" applyAlignment="1">
      <alignment horizontal="center"/>
    </xf>
    <xf numFmtId="0" fontId="5" fillId="22" borderId="8" xfId="8" applyNumberFormat="1" applyFill="1" applyBorder="1" applyAlignment="1">
      <alignment horizontal="center"/>
    </xf>
    <xf numFmtId="0" fontId="5" fillId="19" borderId="6" xfId="8" applyNumberFormat="1" applyFill="1" applyBorder="1" applyAlignment="1">
      <alignment horizontal="center"/>
    </xf>
    <xf numFmtId="0" fontId="5" fillId="19" borderId="8" xfId="8" applyNumberFormat="1" applyFill="1" applyBorder="1" applyAlignment="1">
      <alignment horizontal="center"/>
    </xf>
    <xf numFmtId="0" fontId="9" fillId="23" borderId="0" xfId="8" applyNumberFormat="1" applyFont="1" applyFill="1" applyAlignment="1">
      <alignment horizontal="center"/>
    </xf>
    <xf numFmtId="0" fontId="5" fillId="24" borderId="6" xfId="8" applyNumberFormat="1" applyFill="1" applyBorder="1" applyAlignment="1">
      <alignment horizontal="center"/>
    </xf>
    <xf numFmtId="0" fontId="5" fillId="24" borderId="8" xfId="8" applyNumberFormat="1" applyFill="1" applyBorder="1" applyAlignment="1">
      <alignment horizontal="center"/>
    </xf>
    <xf numFmtId="0" fontId="9" fillId="0" borderId="0" xfId="8" applyNumberFormat="1" applyFont="1"/>
    <xf numFmtId="170" fontId="43" fillId="27" borderId="1" xfId="8" applyNumberFormat="1" applyFont="1" applyFill="1" applyBorder="1" applyAlignment="1">
      <alignment horizontal="center"/>
    </xf>
    <xf numFmtId="177" fontId="90" fillId="27" borderId="3" xfId="8" applyNumberFormat="1" applyFont="1" applyFill="1" applyBorder="1"/>
    <xf numFmtId="10" fontId="43" fillId="27" borderId="4" xfId="8" applyNumberFormat="1" applyFont="1" applyFill="1" applyBorder="1" applyAlignment="1">
      <alignment horizontal="center"/>
    </xf>
    <xf numFmtId="0" fontId="43" fillId="27" borderId="5" xfId="8" applyFont="1" applyFill="1" applyBorder="1" applyAlignment="1">
      <alignment horizontal="right"/>
    </xf>
    <xf numFmtId="170" fontId="36" fillId="27" borderId="4" xfId="8" applyNumberFormat="1" applyFont="1" applyFill="1" applyBorder="1" applyAlignment="1">
      <alignment horizontal="center"/>
    </xf>
    <xf numFmtId="0" fontId="36" fillId="27" borderId="5" xfId="8" applyFont="1" applyFill="1" applyBorder="1" applyAlignment="1">
      <alignment horizontal="center"/>
    </xf>
    <xf numFmtId="0" fontId="43" fillId="27" borderId="6" xfId="8" applyNumberFormat="1" applyFont="1" applyFill="1" applyBorder="1" applyAlignment="1">
      <alignment horizontal="center"/>
    </xf>
    <xf numFmtId="0" fontId="43" fillId="27" borderId="8" xfId="8" applyNumberFormat="1" applyFont="1" applyFill="1" applyBorder="1" applyAlignment="1">
      <alignment horizontal="center"/>
    </xf>
    <xf numFmtId="0" fontId="14" fillId="0" borderId="4" xfId="8" applyFont="1" applyBorder="1" applyProtection="1"/>
    <xf numFmtId="0" fontId="14" fillId="0" borderId="5" xfId="8" applyFont="1" applyBorder="1" applyProtection="1"/>
    <xf numFmtId="0" fontId="5" fillId="0" borderId="0" xfId="8" applyProtection="1"/>
    <xf numFmtId="0" fontId="17" fillId="0" borderId="0" xfId="8" applyFont="1" applyProtection="1"/>
    <xf numFmtId="0" fontId="43" fillId="0" borderId="51" xfId="128" applyFont="1" applyBorder="1"/>
    <xf numFmtId="0" fontId="43" fillId="7" borderId="51" xfId="128" applyFont="1" applyFill="1" applyBorder="1"/>
    <xf numFmtId="0" fontId="9" fillId="7" borderId="4" xfId="8" applyFont="1" applyFill="1" applyBorder="1"/>
    <xf numFmtId="10" fontId="43" fillId="7" borderId="5" xfId="11" applyNumberFormat="1" applyFont="1" applyFill="1" applyBorder="1" applyProtection="1"/>
    <xf numFmtId="10" fontId="9" fillId="11" borderId="5" xfId="11" applyNumberFormat="1" applyFont="1" applyFill="1" applyBorder="1" applyProtection="1"/>
    <xf numFmtId="0" fontId="9" fillId="0" borderId="4" xfId="8" applyFont="1" applyBorder="1" applyProtection="1"/>
    <xf numFmtId="0" fontId="5" fillId="0" borderId="5" xfId="8" applyBorder="1" applyProtection="1"/>
    <xf numFmtId="0" fontId="93" fillId="0" borderId="3" xfId="128" applyFont="1" applyBorder="1"/>
    <xf numFmtId="49" fontId="5" fillId="22" borderId="6" xfId="8" applyNumberFormat="1" applyFill="1" applyBorder="1" applyAlignment="1">
      <alignment horizontal="center"/>
    </xf>
    <xf numFmtId="9" fontId="5" fillId="22" borderId="8" xfId="8" applyNumberFormat="1" applyFill="1" applyBorder="1" applyAlignment="1">
      <alignment horizontal="center"/>
    </xf>
    <xf numFmtId="0" fontId="9" fillId="0" borderId="0" xfId="8" applyFont="1" applyAlignment="1">
      <alignment horizontal="center"/>
    </xf>
    <xf numFmtId="49" fontId="5" fillId="19" borderId="6" xfId="8" applyNumberFormat="1" applyFill="1" applyBorder="1" applyAlignment="1">
      <alignment horizontal="center"/>
    </xf>
    <xf numFmtId="49" fontId="5" fillId="19" borderId="8" xfId="8" applyNumberFormat="1" applyFill="1" applyBorder="1" applyAlignment="1">
      <alignment horizontal="center"/>
    </xf>
    <xf numFmtId="49" fontId="9" fillId="0" borderId="0" xfId="8" applyNumberFormat="1" applyFont="1" applyAlignment="1">
      <alignment horizontal="center"/>
    </xf>
    <xf numFmtId="49" fontId="5" fillId="22" borderId="8" xfId="8" applyNumberFormat="1" applyFill="1" applyBorder="1" applyAlignment="1">
      <alignment horizontal="center"/>
    </xf>
    <xf numFmtId="49" fontId="9" fillId="23" borderId="0" xfId="8" applyNumberFormat="1" applyFont="1" applyFill="1" applyAlignment="1">
      <alignment horizontal="center"/>
    </xf>
    <xf numFmtId="49" fontId="5" fillId="24" borderId="6" xfId="8" applyNumberFormat="1" applyFill="1" applyBorder="1" applyAlignment="1">
      <alignment horizontal="center"/>
    </xf>
    <xf numFmtId="49" fontId="5" fillId="24" borderId="8" xfId="8" applyNumberFormat="1" applyFill="1" applyBorder="1" applyAlignment="1">
      <alignment horizontal="center"/>
    </xf>
    <xf numFmtId="49" fontId="9" fillId="0" borderId="0" xfId="8" applyNumberFormat="1" applyFont="1"/>
    <xf numFmtId="10" fontId="9" fillId="11" borderId="86" xfId="11" applyNumberFormat="1" applyFont="1" applyFill="1" applyBorder="1" applyProtection="1"/>
    <xf numFmtId="0" fontId="9" fillId="0" borderId="4" xfId="8" applyFont="1" applyBorder="1" applyAlignment="1">
      <alignment horizontal="center"/>
    </xf>
    <xf numFmtId="0" fontId="9" fillId="0" borderId="5" xfId="8" applyFont="1" applyBorder="1"/>
    <xf numFmtId="0" fontId="9" fillId="23" borderId="4" xfId="8" applyFont="1" applyFill="1" applyBorder="1" applyAlignment="1">
      <alignment horizontal="center"/>
    </xf>
    <xf numFmtId="0" fontId="9" fillId="23" borderId="5" xfId="8" applyFont="1" applyFill="1" applyBorder="1"/>
    <xf numFmtId="0" fontId="14" fillId="0" borderId="4" xfId="8" applyFont="1" applyBorder="1"/>
    <xf numFmtId="0" fontId="14" fillId="0" borderId="5" xfId="8" applyFont="1" applyBorder="1"/>
    <xf numFmtId="0" fontId="17" fillId="0" borderId="0" xfId="8" applyFont="1"/>
    <xf numFmtId="0" fontId="90" fillId="0" borderId="3" xfId="128" applyFont="1" applyBorder="1"/>
    <xf numFmtId="0" fontId="96" fillId="0" borderId="3" xfId="128" applyFont="1" applyBorder="1"/>
    <xf numFmtId="0" fontId="16" fillId="0" borderId="3" xfId="8" applyFont="1" applyBorder="1"/>
    <xf numFmtId="0" fontId="5" fillId="23" borderId="4" xfId="8" applyFill="1" applyBorder="1"/>
    <xf numFmtId="0" fontId="5" fillId="23" borderId="5" xfId="8" applyFill="1" applyBorder="1"/>
    <xf numFmtId="0" fontId="9" fillId="0" borderId="4" xfId="8" applyFont="1" applyBorder="1" applyAlignment="1">
      <alignment horizontal="right"/>
    </xf>
    <xf numFmtId="10" fontId="9" fillId="22" borderId="5" xfId="8" applyNumberFormat="1" applyFont="1" applyFill="1" applyBorder="1" applyAlignment="1">
      <alignment horizontal="center"/>
    </xf>
    <xf numFmtId="0" fontId="49" fillId="24" borderId="5" xfId="8" applyFont="1" applyFill="1" applyBorder="1" applyAlignment="1">
      <alignment horizontal="right"/>
    </xf>
    <xf numFmtId="0" fontId="9" fillId="14" borderId="50" xfId="0" applyFont="1" applyFill="1" applyBorder="1" applyAlignment="1">
      <alignment horizontal="center"/>
    </xf>
    <xf numFmtId="0" fontId="9" fillId="0" borderId="0" xfId="0" applyFont="1" applyAlignment="1">
      <alignment horizontal="left"/>
    </xf>
    <xf numFmtId="170" fontId="9" fillId="15" borderId="1" xfId="0" applyNumberFormat="1" applyFont="1" applyFill="1" applyBorder="1" applyAlignment="1">
      <alignment horizontal="center"/>
    </xf>
    <xf numFmtId="10" fontId="9" fillId="15" borderId="4" xfId="0" applyNumberFormat="1" applyFont="1" applyFill="1" applyBorder="1" applyAlignment="1">
      <alignment horizontal="center"/>
    </xf>
    <xf numFmtId="170" fontId="0" fillId="15" borderId="5" xfId="0" applyNumberFormat="1" applyFill="1" applyBorder="1"/>
    <xf numFmtId="0" fontId="9" fillId="15" borderId="51" xfId="0" applyFont="1" applyFill="1" applyBorder="1" applyAlignment="1">
      <alignment horizontal="center"/>
    </xf>
    <xf numFmtId="0" fontId="9" fillId="15" borderId="4" xfId="0" applyFont="1" applyFill="1" applyBorder="1" applyAlignment="1">
      <alignment horizontal="center"/>
    </xf>
    <xf numFmtId="0" fontId="9" fillId="15" borderId="5" xfId="0" applyFont="1" applyFill="1" applyBorder="1" applyAlignment="1">
      <alignment horizontal="center"/>
    </xf>
    <xf numFmtId="10" fontId="9" fillId="0" borderId="0" xfId="0" applyNumberFormat="1" applyFont="1"/>
    <xf numFmtId="176" fontId="9" fillId="15" borderId="51" xfId="0" applyNumberFormat="1" applyFont="1" applyFill="1" applyBorder="1" applyAlignment="1">
      <alignment horizontal="center"/>
    </xf>
    <xf numFmtId="0" fontId="0" fillId="15" borderId="5" xfId="0" applyFill="1" applyBorder="1" applyAlignment="1">
      <alignment horizontal="center"/>
    </xf>
    <xf numFmtId="0" fontId="0" fillId="0" borderId="0" xfId="0" applyAlignment="1">
      <alignment horizontal="center"/>
    </xf>
    <xf numFmtId="0" fontId="97" fillId="6" borderId="50" xfId="0" applyFont="1" applyFill="1" applyBorder="1"/>
    <xf numFmtId="0" fontId="32" fillId="6" borderId="1" xfId="0" applyFont="1" applyFill="1" applyBorder="1"/>
    <xf numFmtId="10" fontId="32" fillId="6" borderId="3" xfId="0" applyNumberFormat="1" applyFont="1" applyFill="1" applyBorder="1"/>
    <xf numFmtId="0" fontId="5" fillId="0" borderId="51" xfId="0" applyFont="1" applyBorder="1"/>
    <xf numFmtId="167" fontId="17" fillId="28" borderId="4" xfId="0" applyNumberFormat="1" applyFont="1" applyFill="1" applyBorder="1" applyProtection="1">
      <protection locked="0"/>
    </xf>
    <xf numFmtId="10" fontId="49" fillId="28" borderId="5" xfId="0" applyNumberFormat="1" applyFont="1" applyFill="1" applyBorder="1"/>
    <xf numFmtId="0" fontId="58" fillId="0" borderId="51" xfId="0" applyFont="1" applyBorder="1"/>
    <xf numFmtId="10" fontId="9" fillId="28" borderId="5" xfId="0" applyNumberFormat="1" applyFont="1" applyFill="1" applyBorder="1"/>
    <xf numFmtId="0" fontId="5" fillId="0" borderId="53" xfId="0" applyFont="1" applyBorder="1"/>
    <xf numFmtId="0" fontId="98" fillId="17" borderId="87" xfId="0" applyFont="1" applyFill="1" applyBorder="1"/>
    <xf numFmtId="0" fontId="56" fillId="0" borderId="0" xfId="0" applyFont="1"/>
    <xf numFmtId="10" fontId="55" fillId="17" borderId="5" xfId="0" applyNumberFormat="1" applyFont="1" applyFill="1" applyBorder="1"/>
    <xf numFmtId="0" fontId="0" fillId="7" borderId="55" xfId="0" applyFill="1" applyBorder="1"/>
    <xf numFmtId="10" fontId="0" fillId="28" borderId="5" xfId="0" applyNumberFormat="1" applyFill="1" applyBorder="1"/>
    <xf numFmtId="0" fontId="43" fillId="7" borderId="0" xfId="0" applyFont="1" applyFill="1"/>
    <xf numFmtId="0" fontId="36" fillId="7" borderId="56" xfId="0" applyFont="1" applyFill="1" applyBorder="1"/>
    <xf numFmtId="0" fontId="43" fillId="7" borderId="57" xfId="0" applyFont="1" applyFill="1" applyBorder="1"/>
    <xf numFmtId="10" fontId="43" fillId="28" borderId="59" xfId="0" applyNumberFormat="1" applyFont="1" applyFill="1" applyBorder="1"/>
    <xf numFmtId="166" fontId="0" fillId="0" borderId="0" xfId="0" applyNumberFormat="1"/>
    <xf numFmtId="0" fontId="0" fillId="7" borderId="51" xfId="0" applyFill="1" applyBorder="1"/>
    <xf numFmtId="0" fontId="5" fillId="7" borderId="51" xfId="0" applyFont="1" applyFill="1" applyBorder="1"/>
    <xf numFmtId="0" fontId="82" fillId="6" borderId="56" xfId="0" applyFont="1" applyFill="1" applyBorder="1"/>
    <xf numFmtId="0" fontId="9" fillId="0" borderId="57" xfId="0" applyFont="1" applyBorder="1"/>
    <xf numFmtId="10" fontId="31" fillId="6" borderId="59" xfId="0" applyNumberFormat="1" applyFont="1" applyFill="1" applyBorder="1"/>
    <xf numFmtId="0" fontId="82" fillId="26" borderId="56" xfId="0" applyFont="1" applyFill="1" applyBorder="1"/>
    <xf numFmtId="10" fontId="82" fillId="26" borderId="59" xfId="0" applyNumberFormat="1" applyFont="1" applyFill="1" applyBorder="1"/>
    <xf numFmtId="0" fontId="98" fillId="17" borderId="51" xfId="0" applyFont="1" applyFill="1" applyBorder="1"/>
    <xf numFmtId="0" fontId="55" fillId="0" borderId="0" xfId="0" applyFont="1"/>
    <xf numFmtId="0" fontId="0" fillId="0" borderId="51" xfId="0" applyBorder="1"/>
    <xf numFmtId="10" fontId="5" fillId="28" borderId="5" xfId="0" applyNumberFormat="1" applyFont="1" applyFill="1" applyBorder="1"/>
    <xf numFmtId="0" fontId="0" fillId="7" borderId="0" xfId="0" applyFill="1"/>
    <xf numFmtId="0" fontId="0" fillId="0" borderId="57" xfId="0" applyBorder="1"/>
    <xf numFmtId="10" fontId="82" fillId="6" borderId="59" xfId="6" applyNumberFormat="1" applyFont="1" applyFill="1" applyBorder="1"/>
    <xf numFmtId="0" fontId="90" fillId="7" borderId="51" xfId="0" applyFont="1" applyFill="1" applyBorder="1"/>
    <xf numFmtId="10" fontId="36" fillId="28" borderId="5" xfId="0" applyNumberFormat="1" applyFont="1" applyFill="1" applyBorder="1"/>
    <xf numFmtId="0" fontId="55" fillId="17" borderId="51" xfId="0" applyFont="1" applyFill="1" applyBorder="1"/>
    <xf numFmtId="0" fontId="55" fillId="7" borderId="51" xfId="0" applyFont="1" applyFill="1" applyBorder="1"/>
    <xf numFmtId="0" fontId="56" fillId="7" borderId="0" xfId="0" applyFont="1" applyFill="1"/>
    <xf numFmtId="10" fontId="55" fillId="28" borderId="5" xfId="0" applyNumberFormat="1" applyFont="1" applyFill="1" applyBorder="1"/>
    <xf numFmtId="0" fontId="55" fillId="26" borderId="51" xfId="0" applyFont="1" applyFill="1" applyBorder="1"/>
    <xf numFmtId="10" fontId="82" fillId="26" borderId="5" xfId="0" applyNumberFormat="1" applyFont="1" applyFill="1" applyBorder="1"/>
    <xf numFmtId="0" fontId="31" fillId="6" borderId="51" xfId="0" applyFont="1" applyFill="1" applyBorder="1"/>
    <xf numFmtId="10" fontId="32" fillId="6" borderId="5" xfId="0" applyNumberFormat="1" applyFont="1" applyFill="1" applyBorder="1"/>
    <xf numFmtId="0" fontId="31" fillId="7" borderId="51" xfId="0" applyFont="1" applyFill="1" applyBorder="1"/>
    <xf numFmtId="10" fontId="32" fillId="28" borderId="5" xfId="0" applyNumberFormat="1" applyFont="1" applyFill="1" applyBorder="1"/>
    <xf numFmtId="0" fontId="43" fillId="7" borderId="51" xfId="0" applyFont="1" applyFill="1" applyBorder="1"/>
    <xf numFmtId="10" fontId="43" fillId="28" borderId="5" xfId="0" applyNumberFormat="1" applyFont="1" applyFill="1" applyBorder="1"/>
    <xf numFmtId="0" fontId="43" fillId="0" borderId="51" xfId="0" applyFont="1" applyBorder="1"/>
    <xf numFmtId="0" fontId="55" fillId="26" borderId="52" xfId="0" applyFont="1" applyFill="1" applyBorder="1"/>
    <xf numFmtId="10" fontId="55" fillId="26" borderId="8" xfId="0" applyNumberFormat="1" applyFont="1" applyFill="1" applyBorder="1"/>
    <xf numFmtId="166" fontId="32" fillId="6" borderId="0" xfId="0" applyNumberFormat="1" applyFont="1" applyFill="1"/>
    <xf numFmtId="0" fontId="0" fillId="28" borderId="5" xfId="0" applyFill="1" applyBorder="1"/>
    <xf numFmtId="0" fontId="0" fillId="16" borderId="0" xfId="0" applyFill="1"/>
    <xf numFmtId="0" fontId="31" fillId="26" borderId="48" xfId="0" applyFont="1" applyFill="1" applyBorder="1"/>
    <xf numFmtId="9" fontId="31" fillId="26" borderId="28" xfId="0" applyNumberFormat="1" applyFont="1" applyFill="1" applyBorder="1"/>
    <xf numFmtId="10" fontId="0" fillId="0" borderId="0" xfId="0" applyNumberFormat="1"/>
    <xf numFmtId="1" fontId="36" fillId="14" borderId="51" xfId="0" applyNumberFormat="1" applyFont="1" applyFill="1" applyBorder="1" applyAlignment="1" applyProtection="1">
      <alignment horizontal="center"/>
    </xf>
    <xf numFmtId="49" fontId="9" fillId="15" borderId="50" xfId="0" applyNumberFormat="1" applyFont="1" applyFill="1" applyBorder="1" applyAlignment="1">
      <alignment horizontal="center"/>
    </xf>
    <xf numFmtId="176" fontId="9" fillId="15" borderId="52" xfId="0" applyNumberFormat="1" applyFont="1" applyFill="1" applyBorder="1" applyAlignment="1">
      <alignment horizontal="center"/>
    </xf>
    <xf numFmtId="0" fontId="49" fillId="0" borderId="0" xfId="0" applyFont="1" applyAlignment="1">
      <alignment horizontal="center"/>
    </xf>
    <xf numFmtId="9" fontId="49" fillId="0" borderId="0" xfId="0" applyNumberFormat="1" applyFont="1" applyAlignment="1">
      <alignment horizontal="center"/>
    </xf>
    <xf numFmtId="167" fontId="49" fillId="0" borderId="0" xfId="0" applyNumberFormat="1" applyFont="1"/>
    <xf numFmtId="167" fontId="14" fillId="0" borderId="4" xfId="127" applyNumberFormat="1" applyFont="1" applyBorder="1" applyAlignment="1" applyProtection="1">
      <alignment horizontal="right"/>
      <protection locked="0"/>
    </xf>
    <xf numFmtId="167" fontId="36" fillId="0" borderId="4" xfId="127" applyNumberFormat="1" applyFont="1" applyBorder="1" applyAlignment="1" applyProtection="1">
      <alignment horizontal="right"/>
      <protection locked="0"/>
    </xf>
    <xf numFmtId="167" fontId="55" fillId="17" borderId="13" xfId="8" applyNumberFormat="1" applyFont="1" applyFill="1" applyBorder="1" applyAlignment="1">
      <alignment horizontal="right"/>
    </xf>
    <xf numFmtId="167" fontId="9" fillId="11" borderId="4" xfId="127" applyNumberFormat="1" applyFont="1" applyFill="1" applyBorder="1" applyProtection="1"/>
    <xf numFmtId="167" fontId="14" fillId="0" borderId="4" xfId="127" applyNumberFormat="1" applyFont="1" applyBorder="1" applyAlignment="1" applyProtection="1">
      <alignment horizontal="right"/>
    </xf>
    <xf numFmtId="167" fontId="5" fillId="0" borderId="4" xfId="125" applyNumberFormat="1" applyFont="1" applyFill="1" applyBorder="1" applyAlignment="1">
      <alignment horizontal="center"/>
    </xf>
    <xf numFmtId="167" fontId="5" fillId="0" borderId="4" xfId="125" applyNumberFormat="1" applyFont="1" applyBorder="1" applyAlignment="1">
      <alignment horizontal="center"/>
    </xf>
    <xf numFmtId="167" fontId="55" fillId="17" borderId="6" xfId="125" applyNumberFormat="1" applyFont="1" applyFill="1" applyBorder="1" applyAlignment="1">
      <alignment horizontal="center"/>
    </xf>
    <xf numFmtId="167" fontId="78" fillId="0" borderId="0" xfId="125" applyNumberFormat="1" applyFont="1" applyFill="1" applyBorder="1" applyAlignment="1">
      <alignment horizontal="center"/>
    </xf>
    <xf numFmtId="167" fontId="55" fillId="17" borderId="64" xfId="125" applyNumberFormat="1" applyFont="1" applyFill="1" applyBorder="1" applyAlignment="1">
      <alignment horizontal="center"/>
    </xf>
    <xf numFmtId="167" fontId="55" fillId="7" borderId="4" xfId="125" applyNumberFormat="1" applyFont="1" applyFill="1" applyBorder="1" applyAlignment="1">
      <alignment horizontal="center"/>
    </xf>
    <xf numFmtId="167" fontId="17" fillId="0" borderId="4" xfId="125" applyNumberFormat="1" applyFont="1" applyBorder="1" applyAlignment="1" applyProtection="1">
      <alignment horizontal="center"/>
      <protection locked="0"/>
    </xf>
    <xf numFmtId="167" fontId="17" fillId="0" borderId="4" xfId="125" applyNumberFormat="1" applyFont="1" applyFill="1" applyBorder="1" applyAlignment="1" applyProtection="1">
      <alignment horizontal="center"/>
      <protection locked="0"/>
    </xf>
    <xf numFmtId="167" fontId="81" fillId="0" borderId="0" xfId="8" applyNumberFormat="1" applyFont="1" applyBorder="1" applyAlignment="1">
      <alignment horizontal="center"/>
    </xf>
    <xf numFmtId="167" fontId="31" fillId="6" borderId="6" xfId="8" applyNumberFormat="1" applyFont="1" applyFill="1" applyBorder="1" applyAlignment="1">
      <alignment horizontal="center"/>
    </xf>
    <xf numFmtId="167" fontId="31" fillId="7" borderId="0" xfId="8" applyNumberFormat="1" applyFont="1" applyFill="1" applyBorder="1" applyAlignment="1">
      <alignment horizontal="center"/>
    </xf>
    <xf numFmtId="167" fontId="31" fillId="26" borderId="1" xfId="8" applyNumberFormat="1" applyFont="1" applyFill="1" applyBorder="1" applyAlignment="1">
      <alignment horizontal="center"/>
    </xf>
    <xf numFmtId="167" fontId="31" fillId="26" borderId="6" xfId="8" applyNumberFormat="1" applyFont="1" applyFill="1" applyBorder="1" applyAlignment="1">
      <alignment horizontal="center"/>
    </xf>
    <xf numFmtId="167" fontId="5" fillId="11" borderId="4" xfId="8" applyNumberFormat="1" applyFill="1" applyBorder="1" applyAlignment="1">
      <alignment horizontal="center"/>
    </xf>
    <xf numFmtId="167" fontId="55" fillId="17" borderId="6" xfId="8" applyNumberFormat="1" applyFont="1" applyFill="1" applyBorder="1" applyAlignment="1">
      <alignment horizontal="center"/>
    </xf>
    <xf numFmtId="167" fontId="5" fillId="7" borderId="0" xfId="8" applyNumberFormat="1" applyFill="1" applyBorder="1" applyAlignment="1">
      <alignment horizontal="center"/>
    </xf>
    <xf numFmtId="167" fontId="55" fillId="6" borderId="64" xfId="8" applyNumberFormat="1" applyFont="1" applyFill="1" applyBorder="1" applyAlignment="1">
      <alignment horizontal="center"/>
    </xf>
    <xf numFmtId="167" fontId="55" fillId="11" borderId="4" xfId="8" applyNumberFormat="1" applyFont="1" applyFill="1" applyBorder="1" applyAlignment="1">
      <alignment horizontal="center"/>
    </xf>
    <xf numFmtId="167" fontId="5" fillId="0" borderId="0" xfId="8" applyNumberFormat="1" applyBorder="1" applyAlignment="1">
      <alignment horizontal="center"/>
    </xf>
    <xf numFmtId="167" fontId="14" fillId="0" borderId="64" xfId="11" applyNumberFormat="1" applyFont="1" applyBorder="1" applyAlignment="1" applyProtection="1">
      <alignment horizontal="center"/>
      <protection locked="0"/>
    </xf>
    <xf numFmtId="167" fontId="5" fillId="0" borderId="4" xfId="125" applyNumberFormat="1" applyFont="1" applyBorder="1" applyAlignment="1" applyProtection="1">
      <alignment horizontal="center"/>
    </xf>
    <xf numFmtId="167" fontId="55" fillId="17" borderId="6" xfId="125" applyNumberFormat="1" applyFont="1" applyFill="1" applyBorder="1" applyAlignment="1" applyProtection="1">
      <alignment horizontal="center"/>
    </xf>
    <xf numFmtId="167" fontId="78" fillId="0" borderId="0" xfId="125" applyNumberFormat="1" applyFont="1" applyBorder="1" applyAlignment="1" applyProtection="1">
      <alignment horizontal="center"/>
    </xf>
    <xf numFmtId="167" fontId="32" fillId="6" borderId="13" xfId="125" applyNumberFormat="1" applyFont="1" applyFill="1" applyBorder="1" applyAlignment="1" applyProtection="1">
      <alignment horizontal="center"/>
    </xf>
    <xf numFmtId="167" fontId="14" fillId="0" borderId="4" xfId="11" applyNumberFormat="1" applyFont="1" applyBorder="1" applyAlignment="1" applyProtection="1">
      <alignment horizontal="center"/>
      <protection locked="0"/>
    </xf>
    <xf numFmtId="167" fontId="55" fillId="17" borderId="61" xfId="125" applyNumberFormat="1" applyFont="1" applyFill="1" applyBorder="1" applyAlignment="1" applyProtection="1">
      <alignment horizontal="center"/>
    </xf>
    <xf numFmtId="167" fontId="5" fillId="0" borderId="4" xfId="125" applyNumberFormat="1" applyFont="1" applyFill="1" applyBorder="1" applyAlignment="1" applyProtection="1">
      <alignment horizontal="center"/>
    </xf>
    <xf numFmtId="167" fontId="31" fillId="6" borderId="61" xfId="125" applyNumberFormat="1" applyFont="1" applyFill="1" applyBorder="1" applyAlignment="1" applyProtection="1">
      <alignment horizontal="center"/>
    </xf>
    <xf numFmtId="167" fontId="5" fillId="0" borderId="0" xfId="125" applyNumberFormat="1" applyFont="1" applyFill="1" applyBorder="1" applyAlignment="1" applyProtection="1">
      <alignment horizontal="center"/>
    </xf>
    <xf numFmtId="167" fontId="78" fillId="0" borderId="0" xfId="125" applyNumberFormat="1" applyFont="1" applyFill="1" applyBorder="1" applyAlignment="1" applyProtection="1">
      <alignment horizontal="center"/>
    </xf>
    <xf numFmtId="167" fontId="0" fillId="0" borderId="0" xfId="125" applyNumberFormat="1" applyFont="1" applyBorder="1" applyAlignment="1" applyProtection="1">
      <alignment horizontal="center"/>
    </xf>
    <xf numFmtId="167" fontId="55" fillId="7" borderId="0" xfId="125" applyNumberFormat="1" applyFont="1" applyFill="1" applyBorder="1" applyAlignment="1" applyProtection="1">
      <alignment horizontal="center"/>
    </xf>
    <xf numFmtId="167" fontId="0" fillId="11" borderId="4" xfId="125" applyNumberFormat="1" applyFont="1" applyFill="1" applyBorder="1" applyAlignment="1" applyProtection="1">
      <alignment horizontal="center"/>
    </xf>
    <xf numFmtId="167" fontId="82" fillId="6" borderId="13" xfId="125" applyNumberFormat="1" applyFont="1" applyFill="1" applyBorder="1" applyAlignment="1" applyProtection="1">
      <alignment horizontal="center"/>
    </xf>
    <xf numFmtId="167" fontId="32" fillId="6" borderId="78" xfId="125" applyNumberFormat="1" applyFont="1" applyFill="1" applyBorder="1" applyAlignment="1" applyProtection="1">
      <alignment horizontal="center"/>
    </xf>
    <xf numFmtId="167" fontId="78" fillId="6" borderId="13" xfId="125" applyNumberFormat="1" applyFont="1" applyFill="1" applyBorder="1" applyAlignment="1" applyProtection="1">
      <alignment horizontal="center"/>
    </xf>
    <xf numFmtId="167" fontId="43" fillId="11" borderId="4" xfId="8" applyNumberFormat="1" applyFont="1" applyFill="1" applyBorder="1" applyAlignment="1">
      <alignment horizontal="center"/>
    </xf>
    <xf numFmtId="167" fontId="55" fillId="6" borderId="13" xfId="8" applyNumberFormat="1" applyFont="1" applyFill="1" applyBorder="1" applyAlignment="1">
      <alignment horizontal="center"/>
    </xf>
    <xf numFmtId="167" fontId="32" fillId="6" borderId="13" xfId="8" applyNumberFormat="1" applyFont="1" applyFill="1" applyBorder="1" applyAlignment="1">
      <alignment horizontal="center"/>
    </xf>
    <xf numFmtId="167" fontId="55" fillId="6" borderId="80" xfId="8" applyNumberFormat="1" applyFont="1" applyFill="1" applyBorder="1" applyAlignment="1">
      <alignment horizontal="center"/>
    </xf>
    <xf numFmtId="167" fontId="55" fillId="6" borderId="61" xfId="8" applyNumberFormat="1" applyFont="1" applyFill="1" applyBorder="1" applyAlignment="1">
      <alignment horizontal="center"/>
    </xf>
    <xf numFmtId="167" fontId="55" fillId="17" borderId="61" xfId="8" applyNumberFormat="1" applyFont="1" applyFill="1" applyBorder="1" applyAlignment="1">
      <alignment horizontal="center"/>
    </xf>
    <xf numFmtId="167" fontId="5" fillId="11" borderId="61" xfId="8" applyNumberFormat="1" applyFill="1" applyBorder="1" applyAlignment="1">
      <alignment horizontal="center"/>
    </xf>
    <xf numFmtId="167" fontId="55" fillId="7" borderId="0" xfId="8" applyNumberFormat="1" applyFont="1" applyFill="1" applyBorder="1" applyAlignment="1">
      <alignment horizontal="center"/>
    </xf>
    <xf numFmtId="167" fontId="82" fillId="6" borderId="13" xfId="126" applyNumberFormat="1" applyFont="1" applyFill="1" applyBorder="1" applyAlignment="1" applyProtection="1">
      <alignment horizontal="center"/>
    </xf>
    <xf numFmtId="167" fontId="36" fillId="0" borderId="4" xfId="127" applyNumberFormat="1" applyFont="1" applyBorder="1" applyAlignment="1" applyProtection="1">
      <alignment horizontal="right"/>
    </xf>
    <xf numFmtId="167" fontId="55" fillId="17" borderId="13" xfId="8" applyNumberFormat="1" applyFont="1" applyFill="1" applyBorder="1"/>
    <xf numFmtId="0" fontId="32" fillId="7" borderId="0" xfId="8" applyFont="1" applyFill="1"/>
    <xf numFmtId="177" fontId="5" fillId="0" borderId="0" xfId="8" applyNumberFormat="1"/>
    <xf numFmtId="0" fontId="7" fillId="0" borderId="0" xfId="8" applyFont="1"/>
    <xf numFmtId="0" fontId="67" fillId="7" borderId="0" xfId="8" applyFont="1" applyFill="1"/>
    <xf numFmtId="0" fontId="9" fillId="31" borderId="50" xfId="8" applyFont="1" applyFill="1" applyBorder="1"/>
    <xf numFmtId="0" fontId="9" fillId="31" borderId="52" xfId="8" applyFont="1" applyFill="1" applyBorder="1"/>
    <xf numFmtId="0" fontId="5" fillId="0" borderId="0" xfId="8" applyAlignment="1">
      <alignment wrapText="1"/>
    </xf>
    <xf numFmtId="0" fontId="5" fillId="6" borderId="1" xfId="8" applyFill="1" applyBorder="1"/>
    <xf numFmtId="0" fontId="5" fillId="6" borderId="2" xfId="8" applyFill="1" applyBorder="1"/>
    <xf numFmtId="0" fontId="5" fillId="6" borderId="3" xfId="8" applyFill="1" applyBorder="1"/>
    <xf numFmtId="0" fontId="5" fillId="6" borderId="4" xfId="8" applyFill="1" applyBorder="1"/>
    <xf numFmtId="0" fontId="9" fillId="32" borderId="4" xfId="8" applyFont="1" applyFill="1" applyBorder="1" applyAlignment="1">
      <alignment horizontal="center"/>
    </xf>
    <xf numFmtId="0" fontId="9" fillId="6" borderId="0" xfId="8" applyFont="1" applyFill="1" applyAlignment="1">
      <alignment horizontal="center"/>
    </xf>
    <xf numFmtId="0" fontId="9" fillId="33" borderId="0" xfId="8" applyFont="1" applyFill="1" applyAlignment="1">
      <alignment horizontal="center"/>
    </xf>
    <xf numFmtId="0" fontId="9" fillId="33" borderId="5" xfId="8" applyFont="1" applyFill="1" applyBorder="1" applyAlignment="1">
      <alignment horizontal="center"/>
    </xf>
    <xf numFmtId="0" fontId="5" fillId="6" borderId="5" xfId="8" applyFill="1" applyBorder="1" applyAlignment="1">
      <alignment horizontal="center"/>
    </xf>
    <xf numFmtId="0" fontId="5" fillId="6" borderId="0" xfId="8" applyFill="1"/>
    <xf numFmtId="0" fontId="5" fillId="6" borderId="5" xfId="8" applyFill="1" applyBorder="1"/>
    <xf numFmtId="0" fontId="9" fillId="31" borderId="84" xfId="8" applyFont="1" applyFill="1" applyBorder="1" applyAlignment="1">
      <alignment horizontal="center" vertical="center" wrapText="1"/>
    </xf>
    <xf numFmtId="0" fontId="5" fillId="6" borderId="88" xfId="8" applyFill="1" applyBorder="1" applyAlignment="1">
      <alignment vertical="center" wrapText="1"/>
    </xf>
    <xf numFmtId="0" fontId="9" fillId="31" borderId="89" xfId="8" applyFont="1" applyFill="1" applyBorder="1" applyAlignment="1">
      <alignment vertical="center" wrapText="1"/>
    </xf>
    <xf numFmtId="0" fontId="5" fillId="6" borderId="90" xfId="8" applyFill="1" applyBorder="1" applyAlignment="1">
      <alignment vertical="center" wrapText="1"/>
    </xf>
    <xf numFmtId="0" fontId="9" fillId="31" borderId="89" xfId="8" applyFont="1" applyFill="1" applyBorder="1" applyAlignment="1">
      <alignment horizontal="center" vertical="center" wrapText="1"/>
    </xf>
    <xf numFmtId="10" fontId="102" fillId="31" borderId="88" xfId="11" applyNumberFormat="1" applyFont="1" applyFill="1" applyBorder="1" applyAlignment="1">
      <alignment horizontal="center" vertical="center" wrapText="1"/>
    </xf>
    <xf numFmtId="0" fontId="9" fillId="31" borderId="91" xfId="8" applyFont="1" applyFill="1" applyBorder="1" applyAlignment="1">
      <alignment vertical="center" wrapText="1"/>
    </xf>
    <xf numFmtId="0" fontId="5" fillId="6" borderId="5" xfId="8" applyFill="1" applyBorder="1" applyAlignment="1">
      <alignment vertical="center" wrapText="1"/>
    </xf>
    <xf numFmtId="0" fontId="5" fillId="7" borderId="53" xfId="8" applyFill="1" applyBorder="1" applyAlignment="1">
      <alignment horizontal="center" vertical="center" wrapText="1"/>
    </xf>
    <xf numFmtId="0" fontId="5" fillId="6" borderId="60" xfId="8" applyFill="1" applyBorder="1" applyAlignment="1">
      <alignment vertical="center" wrapText="1"/>
    </xf>
    <xf numFmtId="0" fontId="5" fillId="23" borderId="89" xfId="129" applyFont="1" applyFill="1" applyBorder="1" applyAlignment="1">
      <alignment vertical="center" wrapText="1"/>
    </xf>
    <xf numFmtId="0" fontId="105" fillId="0" borderId="92" xfId="8" applyFont="1" applyBorder="1" applyAlignment="1">
      <alignment horizontal="center" vertical="center" wrapText="1"/>
    </xf>
    <xf numFmtId="10" fontId="102" fillId="7" borderId="94" xfId="11" applyNumberFormat="1" applyFont="1" applyFill="1" applyBorder="1" applyAlignment="1">
      <alignment horizontal="center" vertical="center" wrapText="1"/>
    </xf>
    <xf numFmtId="0" fontId="5" fillId="7" borderId="89" xfId="8" applyFill="1" applyBorder="1" applyAlignment="1">
      <alignment vertical="center" wrapText="1"/>
    </xf>
    <xf numFmtId="0" fontId="9" fillId="7" borderId="91" xfId="8" applyFont="1" applyFill="1" applyBorder="1" applyAlignment="1">
      <alignment vertical="center" wrapText="1"/>
    </xf>
    <xf numFmtId="0" fontId="5" fillId="0" borderId="87" xfId="8" applyBorder="1" applyAlignment="1">
      <alignment horizontal="center" vertical="center" wrapText="1"/>
    </xf>
    <xf numFmtId="0" fontId="5" fillId="6" borderId="95" xfId="8" applyFill="1" applyBorder="1" applyAlignment="1">
      <alignment vertical="center" wrapText="1"/>
    </xf>
    <xf numFmtId="0" fontId="5" fillId="0" borderId="92" xfId="8" applyBorder="1" applyAlignment="1">
      <alignment vertical="center" wrapText="1"/>
    </xf>
    <xf numFmtId="0" fontId="0" fillId="0" borderId="92" xfId="8" applyFont="1" applyBorder="1" applyAlignment="1">
      <alignment horizontal="center" vertical="center" wrapText="1"/>
    </xf>
    <xf numFmtId="0" fontId="5" fillId="6" borderId="92" xfId="8" applyFill="1" applyBorder="1" applyAlignment="1">
      <alignment vertical="center" wrapText="1"/>
    </xf>
    <xf numFmtId="10" fontId="102" fillId="0" borderId="97" xfId="8" applyNumberFormat="1" applyFont="1" applyBorder="1" applyAlignment="1">
      <alignment horizontal="center" vertical="center" wrapText="1"/>
    </xf>
    <xf numFmtId="0" fontId="9" fillId="0" borderId="96" xfId="8" applyFont="1" applyBorder="1" applyAlignment="1">
      <alignment vertical="center" wrapText="1"/>
    </xf>
    <xf numFmtId="0" fontId="5" fillId="6" borderId="0" xfId="8" applyFill="1" applyAlignment="1">
      <alignment horizontal="center" vertical="center" wrapText="1"/>
    </xf>
    <xf numFmtId="0" fontId="5" fillId="6" borderId="0" xfId="8" applyFill="1" applyAlignment="1">
      <alignment vertical="center" wrapText="1"/>
    </xf>
    <xf numFmtId="0" fontId="5" fillId="6" borderId="29" xfId="8" applyFill="1" applyBorder="1" applyAlignment="1">
      <alignment vertical="center" wrapText="1"/>
    </xf>
    <xf numFmtId="10" fontId="108" fillId="6" borderId="29" xfId="8" applyNumberFormat="1" applyFont="1" applyFill="1" applyBorder="1" applyAlignment="1">
      <alignment horizontal="center" vertical="center" wrapText="1"/>
    </xf>
    <xf numFmtId="10" fontId="102" fillId="6" borderId="0" xfId="8" applyNumberFormat="1" applyFont="1" applyFill="1" applyAlignment="1">
      <alignment horizontal="center" vertical="center" wrapText="1"/>
    </xf>
    <xf numFmtId="0" fontId="9" fillId="6" borderId="29" xfId="8" applyFont="1" applyFill="1" applyBorder="1" applyAlignment="1">
      <alignment vertical="center" wrapText="1"/>
    </xf>
    <xf numFmtId="0" fontId="9" fillId="31" borderId="98" xfId="8" applyFont="1" applyFill="1" applyBorder="1" applyAlignment="1">
      <alignment horizontal="center" vertical="center" wrapText="1"/>
    </xf>
    <xf numFmtId="0" fontId="5" fillId="6" borderId="89" xfId="8" applyFill="1" applyBorder="1" applyAlignment="1">
      <alignment vertical="center" wrapText="1"/>
    </xf>
    <xf numFmtId="10" fontId="102" fillId="31" borderId="88" xfId="8" applyNumberFormat="1" applyFont="1" applyFill="1" applyBorder="1" applyAlignment="1">
      <alignment horizontal="center" vertical="center" wrapText="1"/>
    </xf>
    <xf numFmtId="0" fontId="5" fillId="0" borderId="99" xfId="8" applyBorder="1" applyAlignment="1">
      <alignment horizontal="center" vertical="center" wrapText="1"/>
    </xf>
    <xf numFmtId="0" fontId="5" fillId="6" borderId="100" xfId="8" applyFill="1" applyBorder="1" applyAlignment="1">
      <alignment vertical="center" wrapText="1"/>
    </xf>
    <xf numFmtId="0" fontId="5" fillId="0" borderId="100" xfId="8" applyBorder="1" applyAlignment="1">
      <alignment vertical="center" wrapText="1"/>
    </xf>
    <xf numFmtId="0" fontId="5" fillId="6" borderId="101" xfId="8" applyFill="1" applyBorder="1" applyAlignment="1">
      <alignment vertical="center" wrapText="1"/>
    </xf>
    <xf numFmtId="0" fontId="5" fillId="0" borderId="102" xfId="8" applyBorder="1" applyAlignment="1">
      <alignment horizontal="center" vertical="center" wrapText="1"/>
    </xf>
    <xf numFmtId="10" fontId="102" fillId="0" borderId="101" xfId="8" applyNumberFormat="1" applyFont="1" applyBorder="1" applyAlignment="1">
      <alignment horizontal="center" vertical="center" wrapText="1"/>
    </xf>
    <xf numFmtId="0" fontId="9" fillId="0" borderId="103" xfId="8" applyFont="1" applyBorder="1" applyAlignment="1">
      <alignment vertical="center" wrapText="1"/>
    </xf>
    <xf numFmtId="0" fontId="5" fillId="0" borderId="16" xfId="8" applyBorder="1" applyAlignment="1">
      <alignment horizontal="center" vertical="center" wrapText="1"/>
    </xf>
    <xf numFmtId="0" fontId="49" fillId="0" borderId="29" xfId="8" applyFont="1" applyBorder="1" applyAlignment="1">
      <alignment vertical="center" wrapText="1"/>
    </xf>
    <xf numFmtId="0" fontId="36" fillId="7" borderId="51" xfId="8" applyFont="1" applyFill="1" applyBorder="1" applyAlignment="1">
      <alignment horizontal="center" vertical="center"/>
    </xf>
    <xf numFmtId="10" fontId="102" fillId="0" borderId="0" xfId="8" applyNumberFormat="1" applyFont="1" applyAlignment="1">
      <alignment horizontal="center" vertical="center" wrapText="1"/>
    </xf>
    <xf numFmtId="0" fontId="5" fillId="0" borderId="29" xfId="8" applyBorder="1" applyAlignment="1">
      <alignment vertical="center" wrapText="1"/>
    </xf>
    <xf numFmtId="0" fontId="9" fillId="0" borderId="30" xfId="8" applyFont="1" applyBorder="1" applyAlignment="1">
      <alignment vertical="center" wrapText="1"/>
    </xf>
    <xf numFmtId="0" fontId="5" fillId="6" borderId="16" xfId="8" applyFill="1" applyBorder="1" applyAlignment="1">
      <alignment horizontal="center" vertical="center" wrapText="1"/>
    </xf>
    <xf numFmtId="2" fontId="109" fillId="31" borderId="90" xfId="8" applyNumberFormat="1" applyFont="1" applyFill="1" applyBorder="1" applyAlignment="1">
      <alignment horizontal="center" vertical="center" wrapText="1"/>
    </xf>
    <xf numFmtId="0" fontId="5" fillId="7" borderId="87" xfId="8" applyFill="1" applyBorder="1" applyAlignment="1">
      <alignment horizontal="center" vertical="center" wrapText="1"/>
    </xf>
    <xf numFmtId="0" fontId="9" fillId="7" borderId="87" xfId="8" applyFont="1" applyFill="1" applyBorder="1" applyAlignment="1">
      <alignment vertical="center" wrapText="1"/>
    </xf>
    <xf numFmtId="167" fontId="109" fillId="7" borderId="95" xfId="8" applyNumberFormat="1" applyFont="1" applyFill="1" applyBorder="1" applyAlignment="1">
      <alignment horizontal="center" vertical="center" wrapText="1"/>
    </xf>
    <xf numFmtId="0" fontId="5" fillId="7" borderId="87" xfId="8" applyFill="1" applyBorder="1" applyAlignment="1">
      <alignment vertical="center" wrapText="1"/>
    </xf>
    <xf numFmtId="1" fontId="109" fillId="7" borderId="95" xfId="8" applyNumberFormat="1" applyFont="1" applyFill="1" applyBorder="1" applyAlignment="1">
      <alignment horizontal="center" vertical="center" wrapText="1"/>
    </xf>
    <xf numFmtId="0" fontId="5" fillId="0" borderId="104" xfId="8" applyBorder="1" applyAlignment="1">
      <alignment horizontal="center" vertical="center" wrapText="1"/>
    </xf>
    <xf numFmtId="0" fontId="5" fillId="0" borderId="87" xfId="8" applyBorder="1" applyAlignment="1">
      <alignment vertical="center" wrapText="1"/>
    </xf>
    <xf numFmtId="39" fontId="109" fillId="7" borderId="95" xfId="8" applyNumberFormat="1" applyFont="1" applyFill="1" applyBorder="1" applyAlignment="1">
      <alignment horizontal="center" vertical="center" wrapText="1"/>
    </xf>
    <xf numFmtId="0" fontId="5" fillId="0" borderId="76" xfId="8" applyBorder="1" applyAlignment="1">
      <alignment horizontal="center" vertical="center" wrapText="1"/>
    </xf>
    <xf numFmtId="0" fontId="5" fillId="0" borderId="95" xfId="8" applyBorder="1" applyAlignment="1">
      <alignment vertical="center" wrapText="1"/>
    </xf>
    <xf numFmtId="0" fontId="9" fillId="0" borderId="77" xfId="8" applyFont="1" applyBorder="1" applyAlignment="1">
      <alignment vertical="center" wrapText="1"/>
    </xf>
    <xf numFmtId="0" fontId="5" fillId="6" borderId="29" xfId="8" applyFill="1" applyBorder="1" applyAlignment="1">
      <alignment horizontal="center" vertical="center" wrapText="1"/>
    </xf>
    <xf numFmtId="2" fontId="108" fillId="6" borderId="38" xfId="8" applyNumberFormat="1" applyFont="1" applyFill="1" applyBorder="1" applyAlignment="1">
      <alignment horizontal="center" vertical="center" wrapText="1"/>
    </xf>
    <xf numFmtId="2" fontId="102" fillId="6" borderId="0" xfId="8" applyNumberFormat="1" applyFont="1" applyFill="1" applyAlignment="1">
      <alignment horizontal="center" vertical="center" wrapText="1"/>
    </xf>
    <xf numFmtId="0" fontId="9" fillId="6" borderId="0" xfId="8" applyFont="1" applyFill="1" applyAlignment="1">
      <alignment vertical="center" wrapText="1"/>
    </xf>
    <xf numFmtId="0" fontId="9" fillId="31" borderId="104" xfId="8" applyFont="1" applyFill="1" applyBorder="1" applyAlignment="1">
      <alignment horizontal="center" vertical="center" wrapText="1"/>
    </xf>
    <xf numFmtId="0" fontId="9" fillId="31" borderId="92" xfId="8" applyFont="1" applyFill="1" applyBorder="1" applyAlignment="1">
      <alignment vertical="center" wrapText="1"/>
    </xf>
    <xf numFmtId="0" fontId="9" fillId="31" borderId="92" xfId="8" applyFont="1" applyFill="1" applyBorder="1" applyAlignment="1">
      <alignment horizontal="center" vertical="center" wrapText="1"/>
    </xf>
    <xf numFmtId="39" fontId="102" fillId="31" borderId="95" xfId="8" applyNumberFormat="1" applyFont="1" applyFill="1" applyBorder="1" applyAlignment="1">
      <alignment horizontal="center" vertical="center" wrapText="1"/>
    </xf>
    <xf numFmtId="49" fontId="9" fillId="31" borderId="77" xfId="8" applyNumberFormat="1" applyFont="1" applyFill="1" applyBorder="1" applyAlignment="1">
      <alignment vertical="center" wrapText="1"/>
    </xf>
    <xf numFmtId="0" fontId="5" fillId="7" borderId="104" xfId="8" applyFill="1" applyBorder="1" applyAlignment="1">
      <alignment horizontal="center" vertical="center" wrapText="1"/>
    </xf>
    <xf numFmtId="0" fontId="5" fillId="7" borderId="92" xfId="8" applyFill="1" applyBorder="1" applyAlignment="1">
      <alignment vertical="center" wrapText="1"/>
    </xf>
    <xf numFmtId="0" fontId="5" fillId="7" borderId="92" xfId="8" applyFill="1" applyBorder="1" applyAlignment="1">
      <alignment horizontal="center" vertical="center" wrapText="1"/>
    </xf>
    <xf numFmtId="39" fontId="102" fillId="7" borderId="95" xfId="8" applyNumberFormat="1" applyFont="1" applyFill="1" applyBorder="1" applyAlignment="1">
      <alignment horizontal="center" vertical="center" wrapText="1"/>
    </xf>
    <xf numFmtId="49" fontId="5" fillId="7" borderId="77" xfId="8" applyNumberFormat="1" applyFill="1" applyBorder="1" applyAlignment="1">
      <alignment vertical="center" wrapText="1"/>
    </xf>
    <xf numFmtId="0" fontId="5" fillId="0" borderId="105" xfId="8" applyBorder="1" applyAlignment="1">
      <alignment horizontal="center" vertical="center" wrapText="1"/>
    </xf>
    <xf numFmtId="0" fontId="5" fillId="0" borderId="106" xfId="8" applyBorder="1" applyAlignment="1">
      <alignment vertical="center" wrapText="1"/>
    </xf>
    <xf numFmtId="0" fontId="0" fillId="0" borderId="106" xfId="8" applyFont="1" applyBorder="1" applyAlignment="1">
      <alignment horizontal="center" vertical="center" wrapText="1"/>
    </xf>
    <xf numFmtId="10" fontId="102" fillId="0" borderId="60" xfId="8" applyNumberFormat="1" applyFont="1" applyBorder="1" applyAlignment="1">
      <alignment horizontal="center" vertical="center" wrapText="1"/>
    </xf>
    <xf numFmtId="0" fontId="9" fillId="0" borderId="93" xfId="8" applyFont="1" applyBorder="1" applyAlignment="1">
      <alignment vertical="center" wrapText="1"/>
    </xf>
    <xf numFmtId="2" fontId="102" fillId="0" borderId="97" xfId="8" applyNumberFormat="1" applyFont="1" applyBorder="1" applyAlignment="1">
      <alignment horizontal="center" vertical="center" wrapText="1"/>
    </xf>
    <xf numFmtId="0" fontId="5" fillId="0" borderId="96" xfId="8" applyBorder="1" applyAlignment="1">
      <alignment vertical="center" wrapText="1"/>
    </xf>
    <xf numFmtId="0" fontId="5" fillId="6" borderId="6" xfId="8" applyFill="1" applyBorder="1"/>
    <xf numFmtId="0" fontId="5" fillId="6" borderId="7" xfId="8" applyFill="1" applyBorder="1" applyAlignment="1">
      <alignment vertical="center" wrapText="1"/>
    </xf>
    <xf numFmtId="167" fontId="102" fillId="6" borderId="7" xfId="8" applyNumberFormat="1" applyFont="1" applyFill="1" applyBorder="1" applyAlignment="1">
      <alignment vertical="center" wrapText="1"/>
    </xf>
    <xf numFmtId="0" fontId="102" fillId="6" borderId="7" xfId="8" applyFont="1" applyFill="1" applyBorder="1" applyAlignment="1">
      <alignment vertical="center" wrapText="1"/>
    </xf>
    <xf numFmtId="0" fontId="5" fillId="6" borderId="8" xfId="8" applyFill="1" applyBorder="1" applyAlignment="1">
      <alignment vertical="center" wrapText="1"/>
    </xf>
    <xf numFmtId="0" fontId="5" fillId="0" borderId="0" xfId="8" applyAlignment="1">
      <alignment vertical="center" wrapText="1"/>
    </xf>
    <xf numFmtId="0" fontId="5" fillId="0" borderId="0" xfId="8" applyProtection="1">
      <protection locked="0"/>
    </xf>
    <xf numFmtId="10" fontId="104" fillId="31" borderId="91" xfId="11" applyNumberFormat="1" applyFont="1" applyFill="1" applyBorder="1" applyAlignment="1" applyProtection="1">
      <alignment horizontal="center" vertical="center" wrapText="1"/>
      <protection locked="0"/>
    </xf>
    <xf numFmtId="10" fontId="104" fillId="7" borderId="93" xfId="11" applyNumberFormat="1" applyFont="1" applyFill="1" applyBorder="1" applyAlignment="1" applyProtection="1">
      <alignment horizontal="center" vertical="center" wrapText="1"/>
      <protection locked="0"/>
    </xf>
    <xf numFmtId="10" fontId="104" fillId="0" borderId="96" xfId="8" applyNumberFormat="1" applyFont="1" applyBorder="1" applyAlignment="1" applyProtection="1">
      <alignment horizontal="center" vertical="center" wrapText="1"/>
      <protection locked="0"/>
    </xf>
    <xf numFmtId="10" fontId="104" fillId="31" borderId="91" xfId="8" applyNumberFormat="1" applyFont="1" applyFill="1" applyBorder="1" applyAlignment="1" applyProtection="1">
      <alignment horizontal="center" vertical="center" wrapText="1"/>
      <protection locked="0"/>
    </xf>
    <xf numFmtId="10" fontId="104" fillId="0" borderId="103" xfId="8" applyNumberFormat="1" applyFont="1" applyBorder="1" applyAlignment="1" applyProtection="1">
      <alignment horizontal="center" vertical="center" wrapText="1"/>
      <protection locked="0"/>
    </xf>
    <xf numFmtId="10" fontId="104" fillId="0" borderId="48" xfId="8" applyNumberFormat="1" applyFont="1" applyBorder="1" applyAlignment="1" applyProtection="1">
      <alignment horizontal="center" vertical="center" wrapText="1"/>
      <protection locked="0"/>
    </xf>
    <xf numFmtId="39" fontId="104" fillId="31" borderId="91" xfId="8" applyNumberFormat="1" applyFont="1" applyFill="1" applyBorder="1" applyAlignment="1" applyProtection="1">
      <alignment horizontal="center" vertical="center" wrapText="1"/>
      <protection locked="0"/>
    </xf>
    <xf numFmtId="2" fontId="104" fillId="7" borderId="87" xfId="8" applyNumberFormat="1" applyFont="1" applyFill="1" applyBorder="1" applyAlignment="1" applyProtection="1">
      <alignment horizontal="center" vertical="center" wrapText="1"/>
      <protection locked="0"/>
    </xf>
    <xf numFmtId="1" fontId="104" fillId="7" borderId="87" xfId="8" applyNumberFormat="1" applyFont="1" applyFill="1" applyBorder="1" applyAlignment="1" applyProtection="1">
      <alignment horizontal="center" vertical="center" wrapText="1"/>
      <protection locked="0"/>
    </xf>
    <xf numFmtId="39" fontId="104" fillId="7" borderId="96" xfId="8" applyNumberFormat="1" applyFont="1" applyFill="1" applyBorder="1" applyAlignment="1" applyProtection="1">
      <alignment horizontal="center" vertical="center" wrapText="1"/>
      <protection locked="0"/>
    </xf>
    <xf numFmtId="39" fontId="104" fillId="7" borderId="77" xfId="8" applyNumberFormat="1" applyFont="1" applyFill="1" applyBorder="1" applyAlignment="1" applyProtection="1">
      <alignment horizontal="center" vertical="center" wrapText="1"/>
      <protection locked="0"/>
    </xf>
    <xf numFmtId="39" fontId="104" fillId="7" borderId="87" xfId="8" applyNumberFormat="1" applyFont="1" applyFill="1" applyBorder="1" applyAlignment="1" applyProtection="1">
      <alignment horizontal="center" vertical="center" wrapText="1"/>
      <protection locked="0"/>
    </xf>
    <xf numFmtId="39" fontId="104" fillId="31" borderId="96" xfId="8" applyNumberFormat="1" applyFont="1" applyFill="1" applyBorder="1" applyAlignment="1" applyProtection="1">
      <alignment horizontal="center" vertical="center" wrapText="1"/>
      <protection locked="0"/>
    </xf>
    <xf numFmtId="2" fontId="104" fillId="0" borderId="93" xfId="8" applyNumberFormat="1" applyFont="1" applyBorder="1" applyAlignment="1" applyProtection="1">
      <alignment horizontal="center" vertical="center" wrapText="1"/>
      <protection locked="0"/>
    </xf>
    <xf numFmtId="2" fontId="104" fillId="0" borderId="96" xfId="8" applyNumberFormat="1" applyFont="1" applyBorder="1" applyAlignment="1" applyProtection="1">
      <alignment horizontal="center" vertical="center" wrapText="1"/>
      <protection locked="0"/>
    </xf>
    <xf numFmtId="10" fontId="45" fillId="0" borderId="5" xfId="8" applyNumberFormat="1" applyFont="1" applyBorder="1" applyProtection="1">
      <protection locked="0"/>
    </xf>
    <xf numFmtId="167" fontId="0" fillId="0" borderId="0" xfId="0" applyNumberFormat="1"/>
    <xf numFmtId="0" fontId="111" fillId="0" borderId="63" xfId="8" applyFont="1" applyBorder="1"/>
    <xf numFmtId="0" fontId="60" fillId="0" borderId="63" xfId="8" applyFont="1" applyBorder="1"/>
    <xf numFmtId="167" fontId="112" fillId="0" borderId="63" xfId="8" applyNumberFormat="1" applyFont="1" applyBorder="1" applyAlignment="1">
      <alignment horizontal="center"/>
    </xf>
    <xf numFmtId="167" fontId="60" fillId="0" borderId="63" xfId="8" applyNumberFormat="1" applyFont="1" applyBorder="1"/>
    <xf numFmtId="164" fontId="60" fillId="0" borderId="63" xfId="8" applyNumberFormat="1" applyFont="1" applyBorder="1"/>
    <xf numFmtId="164" fontId="112" fillId="0" borderId="63" xfId="8" applyNumberFormat="1" applyFont="1" applyBorder="1"/>
    <xf numFmtId="0" fontId="111" fillId="0" borderId="107" xfId="8" applyFont="1" applyBorder="1"/>
    <xf numFmtId="0" fontId="60" fillId="0" borderId="107" xfId="8" applyFont="1" applyBorder="1"/>
    <xf numFmtId="167" fontId="112" fillId="0" borderId="107" xfId="8" applyNumberFormat="1" applyFont="1" applyBorder="1" applyAlignment="1">
      <alignment horizontal="center"/>
    </xf>
    <xf numFmtId="167" fontId="60" fillId="0" borderId="107" xfId="8" applyNumberFormat="1" applyFont="1" applyBorder="1"/>
    <xf numFmtId="164" fontId="60" fillId="0" borderId="107" xfId="8" applyNumberFormat="1" applyFont="1" applyBorder="1"/>
    <xf numFmtId="164" fontId="113" fillId="0" borderId="107" xfId="8" applyNumberFormat="1" applyFont="1" applyBorder="1" applyAlignment="1" applyProtection="1">
      <alignment horizontal="right"/>
      <protection locked="0"/>
    </xf>
    <xf numFmtId="164" fontId="112" fillId="0" borderId="107" xfId="8" applyNumberFormat="1" applyFont="1" applyBorder="1"/>
    <xf numFmtId="164" fontId="112" fillId="7" borderId="107" xfId="8" applyNumberFormat="1" applyFont="1" applyFill="1" applyBorder="1"/>
    <xf numFmtId="164" fontId="114" fillId="0" borderId="107" xfId="8" applyNumberFormat="1" applyFont="1" applyBorder="1" applyAlignment="1" applyProtection="1">
      <alignment horizontal="right"/>
      <protection locked="0"/>
    </xf>
    <xf numFmtId="17" fontId="111" fillId="0" borderId="107" xfId="8" applyNumberFormat="1" applyFont="1" applyBorder="1"/>
    <xf numFmtId="0" fontId="115" fillId="0" borderId="107" xfId="8" applyFont="1" applyBorder="1" applyAlignment="1">
      <alignment horizontal="center"/>
    </xf>
    <xf numFmtId="183" fontId="113" fillId="0" borderId="107" xfId="8" applyNumberFormat="1" applyFont="1" applyBorder="1" applyAlignment="1" applyProtection="1">
      <alignment horizontal="right"/>
      <protection locked="0"/>
    </xf>
    <xf numFmtId="183" fontId="114" fillId="7" borderId="107" xfId="8" applyNumberFormat="1" applyFont="1" applyFill="1" applyBorder="1" applyAlignment="1" applyProtection="1">
      <alignment horizontal="right"/>
      <protection locked="0"/>
    </xf>
    <xf numFmtId="0" fontId="7" fillId="7" borderId="0" xfId="8" applyFont="1" applyFill="1"/>
    <xf numFmtId="183" fontId="113" fillId="0" borderId="0" xfId="8" applyNumberFormat="1" applyFont="1" applyProtection="1">
      <protection locked="0"/>
    </xf>
    <xf numFmtId="0" fontId="60" fillId="0" borderId="0" xfId="8" applyFont="1" applyAlignment="1">
      <alignment horizontal="center"/>
    </xf>
    <xf numFmtId="183" fontId="112" fillId="0" borderId="0" xfId="8" applyNumberFormat="1" applyFont="1"/>
    <xf numFmtId="167" fontId="60" fillId="0" borderId="0" xfId="8" applyNumberFormat="1" applyFont="1"/>
    <xf numFmtId="0" fontId="116" fillId="7" borderId="0" xfId="8" applyFont="1" applyFill="1"/>
    <xf numFmtId="164" fontId="113" fillId="0" borderId="0" xfId="8" applyNumberFormat="1" applyFont="1" applyProtection="1">
      <protection locked="0"/>
    </xf>
    <xf numFmtId="164" fontId="112" fillId="0" borderId="0" xfId="8" applyNumberFormat="1" applyFont="1"/>
    <xf numFmtId="167" fontId="112" fillId="0" borderId="0" xfId="8" applyNumberFormat="1" applyFont="1"/>
    <xf numFmtId="164" fontId="114" fillId="0" borderId="0" xfId="8" applyNumberFormat="1" applyFont="1" applyProtection="1">
      <protection locked="0"/>
    </xf>
    <xf numFmtId="10" fontId="7" fillId="0" borderId="0" xfId="8" applyNumberFormat="1" applyFont="1" applyAlignment="1">
      <alignment horizontal="center"/>
    </xf>
    <xf numFmtId="164" fontId="60" fillId="0" borderId="0" xfId="8" applyNumberFormat="1" applyFont="1"/>
    <xf numFmtId="167" fontId="7" fillId="0" borderId="0" xfId="8" applyNumberFormat="1" applyFont="1"/>
    <xf numFmtId="164" fontId="117" fillId="0" borderId="0" xfId="8" applyNumberFormat="1" applyFont="1" applyProtection="1">
      <protection locked="0"/>
    </xf>
    <xf numFmtId="164" fontId="7" fillId="0" borderId="0" xfId="8" applyNumberFormat="1" applyFont="1"/>
    <xf numFmtId="164" fontId="113" fillId="0" borderId="63" xfId="8" applyNumberFormat="1" applyFont="1" applyBorder="1" applyProtection="1">
      <protection locked="0"/>
    </xf>
    <xf numFmtId="164" fontId="114" fillId="7" borderId="63" xfId="8" applyNumberFormat="1" applyFont="1" applyFill="1" applyBorder="1" applyProtection="1">
      <protection locked="0"/>
    </xf>
    <xf numFmtId="0" fontId="60" fillId="30" borderId="0" xfId="8" applyFont="1" applyFill="1"/>
    <xf numFmtId="164" fontId="60" fillId="30" borderId="0" xfId="8" applyNumberFormat="1" applyFont="1" applyFill="1"/>
    <xf numFmtId="164" fontId="113" fillId="30" borderId="0" xfId="8" applyNumberFormat="1" applyFont="1" applyFill="1" applyProtection="1">
      <protection locked="0"/>
    </xf>
    <xf numFmtId="0" fontId="111" fillId="0" borderId="0" xfId="8" applyFont="1"/>
    <xf numFmtId="167" fontId="112" fillId="0" borderId="0" xfId="8" applyNumberFormat="1" applyFont="1" applyAlignment="1">
      <alignment horizontal="center"/>
    </xf>
    <xf numFmtId="177" fontId="60" fillId="0" borderId="0" xfId="8" applyNumberFormat="1" applyFont="1"/>
    <xf numFmtId="0" fontId="118" fillId="0" borderId="0" xfId="8" applyFont="1"/>
    <xf numFmtId="167" fontId="7" fillId="7" borderId="107" xfId="8" applyNumberFormat="1" applyFont="1" applyFill="1" applyBorder="1"/>
    <xf numFmtId="10" fontId="7" fillId="7" borderId="0" xfId="8" applyNumberFormat="1" applyFont="1" applyFill="1" applyAlignment="1">
      <alignment horizontal="center"/>
    </xf>
    <xf numFmtId="167" fontId="60" fillId="7" borderId="107" xfId="8" applyNumberFormat="1" applyFont="1" applyFill="1" applyBorder="1"/>
    <xf numFmtId="0" fontId="60" fillId="7" borderId="0" xfId="8" applyFont="1" applyFill="1" applyAlignment="1">
      <alignment horizontal="center"/>
    </xf>
    <xf numFmtId="167" fontId="7" fillId="0" borderId="107" xfId="8" applyNumberFormat="1" applyFont="1" applyBorder="1"/>
    <xf numFmtId="167" fontId="112" fillId="0" borderId="107" xfId="8" applyNumberFormat="1" applyFont="1" applyBorder="1" applyAlignment="1">
      <alignment horizontal="right"/>
    </xf>
    <xf numFmtId="167" fontId="112" fillId="0" borderId="107" xfId="8" applyNumberFormat="1" applyFont="1" applyBorder="1"/>
    <xf numFmtId="164" fontId="112" fillId="7" borderId="107" xfId="8" applyNumberFormat="1" applyFont="1" applyFill="1" applyBorder="1"/>
    <xf numFmtId="0" fontId="7" fillId="0" borderId="0" xfId="8" applyFont="1" applyAlignment="1">
      <alignment horizontal="right"/>
    </xf>
    <xf numFmtId="0" fontId="60" fillId="29" borderId="13" xfId="8" applyFont="1" applyFill="1" applyBorder="1"/>
    <xf numFmtId="164" fontId="112" fillId="29" borderId="27" xfId="8" applyNumberFormat="1" applyFont="1" applyFill="1" applyBorder="1"/>
    <xf numFmtId="10" fontId="7" fillId="29" borderId="28" xfId="8" applyNumberFormat="1" applyFont="1" applyFill="1" applyBorder="1" applyAlignment="1">
      <alignment horizontal="center"/>
    </xf>
    <xf numFmtId="167" fontId="120" fillId="0" borderId="0" xfId="8" applyNumberFormat="1" applyFont="1"/>
    <xf numFmtId="0" fontId="121" fillId="0" borderId="0" xfId="8" applyFont="1"/>
    <xf numFmtId="167" fontId="112" fillId="29" borderId="27" xfId="8" applyNumberFormat="1" applyFont="1" applyFill="1" applyBorder="1"/>
    <xf numFmtId="164" fontId="112" fillId="2" borderId="50" xfId="8" applyNumberFormat="1" applyFont="1" applyFill="1" applyBorder="1"/>
    <xf numFmtId="164" fontId="60" fillId="2" borderId="51" xfId="8" applyNumberFormat="1" applyFont="1" applyFill="1" applyBorder="1"/>
    <xf numFmtId="164" fontId="115" fillId="2" borderId="51" xfId="8" applyNumberFormat="1" applyFont="1" applyFill="1" applyBorder="1"/>
    <xf numFmtId="0" fontId="122" fillId="0" borderId="0" xfId="8" applyFont="1" applyAlignment="1">
      <alignment horizontal="center"/>
    </xf>
    <xf numFmtId="164" fontId="123" fillId="12" borderId="48" xfId="8" applyNumberFormat="1" applyFont="1" applyFill="1" applyBorder="1"/>
    <xf numFmtId="164" fontId="60" fillId="25" borderId="0" xfId="8" applyNumberFormat="1" applyFont="1" applyFill="1"/>
    <xf numFmtId="164" fontId="112" fillId="12" borderId="28" xfId="8" applyNumberFormat="1" applyFont="1" applyFill="1" applyBorder="1"/>
    <xf numFmtId="0" fontId="59" fillId="0" borderId="0" xfId="8" applyFont="1" applyAlignment="1">
      <alignment horizontal="right"/>
    </xf>
    <xf numFmtId="166" fontId="60" fillId="0" borderId="0" xfId="8" applyNumberFormat="1" applyFont="1"/>
    <xf numFmtId="166" fontId="113" fillId="0" borderId="0" xfId="8" applyNumberFormat="1" applyFont="1" applyProtection="1">
      <protection locked="0"/>
    </xf>
    <xf numFmtId="166" fontId="60" fillId="30" borderId="0" xfId="8" applyNumberFormat="1" applyFont="1" applyFill="1"/>
    <xf numFmtId="166" fontId="113" fillId="30" borderId="0" xfId="8" applyNumberFormat="1" applyFont="1" applyFill="1" applyProtection="1">
      <protection locked="0"/>
    </xf>
    <xf numFmtId="166" fontId="112" fillId="0" borderId="0" xfId="8" applyNumberFormat="1" applyFont="1"/>
    <xf numFmtId="166" fontId="112" fillId="0" borderId="0" xfId="8" applyNumberFormat="1" applyFont="1" applyAlignment="1">
      <alignment wrapText="1"/>
    </xf>
    <xf numFmtId="166" fontId="114" fillId="0" borderId="0" xfId="8" applyNumberFormat="1" applyFont="1" applyProtection="1">
      <protection locked="0"/>
    </xf>
    <xf numFmtId="0" fontId="124" fillId="6" borderId="0" xfId="8" applyFont="1" applyFill="1" applyAlignment="1">
      <alignment horizontal="center"/>
    </xf>
    <xf numFmtId="0" fontId="125" fillId="0" borderId="0" xfId="8" applyFont="1" applyAlignment="1">
      <alignment horizontal="center"/>
    </xf>
    <xf numFmtId="0" fontId="9" fillId="0" borderId="0" xfId="8" applyFont="1" applyAlignment="1">
      <alignment horizontal="center" vertical="center" wrapText="1"/>
    </xf>
    <xf numFmtId="0" fontId="128" fillId="0" borderId="0" xfId="9" applyFont="1" applyAlignment="1">
      <alignment horizontal="center" vertical="center" wrapText="1"/>
    </xf>
    <xf numFmtId="0" fontId="59" fillId="0" borderId="0" xfId="8" applyFont="1"/>
    <xf numFmtId="10" fontId="60" fillId="0" borderId="0" xfId="8" applyNumberFormat="1" applyFont="1"/>
    <xf numFmtId="10" fontId="60" fillId="0" borderId="0" xfId="8" applyNumberFormat="1" applyFont="1" applyAlignment="1">
      <alignment horizontal="center"/>
    </xf>
    <xf numFmtId="10" fontId="59" fillId="0" borderId="0" xfId="8" applyNumberFormat="1" applyFont="1" applyAlignment="1">
      <alignment horizontal="center"/>
    </xf>
    <xf numFmtId="184" fontId="112" fillId="0" borderId="0" xfId="8" applyNumberFormat="1" applyFont="1" applyAlignment="1">
      <alignment horizontal="center"/>
    </xf>
    <xf numFmtId="185" fontId="112" fillId="0" borderId="0" xfId="8" applyNumberFormat="1" applyFont="1" applyAlignment="1">
      <alignment horizontal="center"/>
    </xf>
    <xf numFmtId="184" fontId="112" fillId="0" borderId="0" xfId="8" applyNumberFormat="1" applyFont="1" applyAlignment="1">
      <alignment horizontal="right"/>
    </xf>
    <xf numFmtId="0" fontId="60" fillId="0" borderId="0" xfId="8" applyFont="1" applyAlignment="1">
      <alignment horizontal="right"/>
    </xf>
    <xf numFmtId="185" fontId="129" fillId="0" borderId="0" xfId="8" applyNumberFormat="1" applyFont="1" applyAlignment="1">
      <alignment horizontal="center"/>
    </xf>
    <xf numFmtId="0" fontId="60" fillId="0" borderId="1" xfId="8" applyFont="1" applyBorder="1"/>
    <xf numFmtId="0" fontId="59" fillId="0" borderId="2" xfId="8" applyFont="1" applyBorder="1"/>
    <xf numFmtId="10" fontId="129" fillId="0" borderId="2" xfId="8" applyNumberFormat="1" applyFont="1" applyBorder="1"/>
    <xf numFmtId="0" fontId="21" fillId="0" borderId="0" xfId="9"/>
    <xf numFmtId="0" fontId="60" fillId="0" borderId="4" xfId="8" applyFont="1" applyBorder="1"/>
    <xf numFmtId="10" fontId="59" fillId="0" borderId="48" xfId="8" applyNumberFormat="1" applyFont="1" applyBorder="1" applyAlignment="1">
      <alignment horizontal="center"/>
    </xf>
    <xf numFmtId="0" fontId="129" fillId="0" borderId="0" xfId="8" applyFont="1"/>
    <xf numFmtId="0" fontId="60" fillId="0" borderId="5" xfId="8" applyFont="1" applyBorder="1"/>
    <xf numFmtId="186" fontId="112" fillId="0" borderId="0" xfId="8" applyNumberFormat="1" applyFont="1" applyAlignment="1">
      <alignment horizontal="center"/>
    </xf>
    <xf numFmtId="187" fontId="129" fillId="0" borderId="0" xfId="8" applyNumberFormat="1" applyFont="1" applyAlignment="1">
      <alignment horizontal="center"/>
    </xf>
    <xf numFmtId="186" fontId="112" fillId="0" borderId="0" xfId="8" applyNumberFormat="1" applyFont="1" applyAlignment="1">
      <alignment horizontal="right"/>
    </xf>
    <xf numFmtId="0" fontId="59" fillId="0" borderId="0" xfId="8" applyFont="1" applyAlignment="1">
      <alignment horizontal="center"/>
    </xf>
    <xf numFmtId="0" fontId="59" fillId="0" borderId="5" xfId="8" applyFont="1" applyBorder="1" applyAlignment="1">
      <alignment horizontal="center"/>
    </xf>
    <xf numFmtId="3" fontId="0" fillId="0" borderId="0" xfId="0" applyNumberFormat="1"/>
    <xf numFmtId="1" fontId="5" fillId="0" borderId="0" xfId="0" applyNumberFormat="1" applyFont="1" applyAlignment="1">
      <alignment horizontal="center"/>
    </xf>
    <xf numFmtId="10" fontId="36" fillId="0" borderId="5" xfId="8" applyNumberFormat="1" applyFont="1" applyBorder="1" applyProtection="1"/>
    <xf numFmtId="0" fontId="134" fillId="15" borderId="5" xfId="8" applyFont="1" applyFill="1" applyBorder="1" applyAlignment="1">
      <alignment horizontal="center"/>
    </xf>
    <xf numFmtId="167" fontId="0" fillId="0" borderId="0" xfId="0" applyNumberFormat="1"/>
    <xf numFmtId="167" fontId="14" fillId="0" borderId="4" xfId="127" applyNumberFormat="1" applyFont="1" applyBorder="1" applyAlignment="1" applyProtection="1">
      <alignment horizontal="right"/>
      <protection locked="0"/>
    </xf>
    <xf numFmtId="0" fontId="60" fillId="0" borderId="108" xfId="8" applyFont="1" applyBorder="1"/>
    <xf numFmtId="10" fontId="60" fillId="0" borderId="108" xfId="8" applyNumberFormat="1" applyFont="1" applyBorder="1" applyAlignment="1">
      <alignment horizontal="center"/>
    </xf>
    <xf numFmtId="0" fontId="60" fillId="0" borderId="111" xfId="8" applyFont="1" applyBorder="1"/>
    <xf numFmtId="0" fontId="129" fillId="0" borderId="112" xfId="8" applyFont="1" applyBorder="1"/>
    <xf numFmtId="10" fontId="59" fillId="0" borderId="112" xfId="8" applyNumberFormat="1" applyFont="1" applyBorder="1" applyAlignment="1">
      <alignment horizontal="center"/>
    </xf>
    <xf numFmtId="0" fontId="59" fillId="0" borderId="112" xfId="8" applyFont="1" applyBorder="1" applyAlignment="1">
      <alignment horizontal="center"/>
    </xf>
    <xf numFmtId="0" fontId="59" fillId="0" borderId="113" xfId="8" applyFont="1" applyBorder="1" applyAlignment="1">
      <alignment horizontal="center"/>
    </xf>
    <xf numFmtId="0" fontId="135" fillId="0" borderId="0" xfId="8" applyFont="1" applyAlignment="1">
      <alignment horizontal="center"/>
    </xf>
    <xf numFmtId="0" fontId="62" fillId="0" borderId="0" xfId="8" applyFont="1" applyAlignment="1">
      <alignment horizontal="center"/>
    </xf>
    <xf numFmtId="188" fontId="62" fillId="0" borderId="48" xfId="8" applyNumberFormat="1" applyFont="1" applyBorder="1" applyAlignment="1">
      <alignment horizontal="center"/>
    </xf>
    <xf numFmtId="9" fontId="0" fillId="0" borderId="0" xfId="0" applyNumberFormat="1" applyAlignment="1">
      <alignment horizontal="center" vertical="center" wrapText="1"/>
    </xf>
    <xf numFmtId="9" fontId="60" fillId="0" borderId="0" xfId="8" applyNumberFormat="1" applyFont="1" applyAlignment="1">
      <alignment horizontal="center" vertical="center" wrapText="1"/>
    </xf>
    <xf numFmtId="0" fontId="60" fillId="0" borderId="0" xfId="8" applyFont="1"/>
    <xf numFmtId="188" fontId="35" fillId="5" borderId="0" xfId="124" applyNumberFormat="1" applyFont="1" applyFill="1" applyBorder="1" applyAlignment="1" applyProtection="1">
      <alignment horizontal="center"/>
    </xf>
    <xf numFmtId="167" fontId="5" fillId="0" borderId="0" xfId="8" applyNumberFormat="1"/>
    <xf numFmtId="2" fontId="137" fillId="0" borderId="0" xfId="0" applyNumberFormat="1" applyFont="1" applyAlignment="1">
      <alignment horizontal="center"/>
    </xf>
    <xf numFmtId="0" fontId="128" fillId="0" borderId="0" xfId="0" applyFont="1" applyAlignment="1">
      <alignment horizontal="center"/>
    </xf>
    <xf numFmtId="167" fontId="60" fillId="0" borderId="0" xfId="8" applyNumberFormat="1" applyFont="1"/>
    <xf numFmtId="2" fontId="137" fillId="0" borderId="50" xfId="0" applyNumberFormat="1" applyFont="1" applyBorder="1" applyAlignment="1">
      <alignment horizontal="center"/>
    </xf>
    <xf numFmtId="1" fontId="138" fillId="0" borderId="50" xfId="0" applyNumberFormat="1" applyFont="1" applyBorder="1" applyAlignment="1">
      <alignment horizontal="center"/>
    </xf>
    <xf numFmtId="0" fontId="59" fillId="0" borderId="50" xfId="0" applyFont="1" applyBorder="1" applyAlignment="1">
      <alignment horizontal="center"/>
    </xf>
    <xf numFmtId="167" fontId="60" fillId="0" borderId="0" xfId="8" applyNumberFormat="1" applyFont="1" applyAlignment="1">
      <alignment horizontal="center"/>
    </xf>
    <xf numFmtId="167" fontId="60" fillId="0" borderId="0" xfId="8" applyNumberFormat="1" applyFont="1" applyAlignment="1">
      <alignment horizontal="right"/>
    </xf>
    <xf numFmtId="2" fontId="137" fillId="0" borderId="114" xfId="0" applyNumberFormat="1" applyFont="1" applyBorder="1" applyAlignment="1">
      <alignment horizontal="center"/>
    </xf>
    <xf numFmtId="1" fontId="138" fillId="0" borderId="51" xfId="0" applyNumberFormat="1" applyFont="1" applyBorder="1" applyAlignment="1">
      <alignment horizontal="center"/>
    </xf>
    <xf numFmtId="0" fontId="59" fillId="0" borderId="51" xfId="0" applyFont="1" applyBorder="1" applyAlignment="1">
      <alignment horizontal="center"/>
    </xf>
    <xf numFmtId="2" fontId="137" fillId="0" borderId="51" xfId="0" applyNumberFormat="1" applyFont="1" applyBorder="1" applyAlignment="1">
      <alignment horizontal="center"/>
    </xf>
    <xf numFmtId="167" fontId="60" fillId="0" borderId="108" xfId="8" applyNumberFormat="1" applyFont="1" applyBorder="1" applyAlignment="1">
      <alignment horizontal="center"/>
    </xf>
    <xf numFmtId="167" fontId="60" fillId="0" borderId="108" xfId="8" applyNumberFormat="1" applyFont="1" applyBorder="1" applyAlignment="1">
      <alignment horizontal="right"/>
    </xf>
    <xf numFmtId="167" fontId="60" fillId="0" borderId="108" xfId="8" applyNumberFormat="1" applyFont="1" applyBorder="1"/>
    <xf numFmtId="167" fontId="112" fillId="0" borderId="0" xfId="8" applyNumberFormat="1" applyFont="1"/>
    <xf numFmtId="2" fontId="112" fillId="0" borderId="51" xfId="8" applyNumberFormat="1" applyFont="1" applyBorder="1" applyAlignment="1">
      <alignment horizontal="center"/>
    </xf>
    <xf numFmtId="167" fontId="112" fillId="0" borderId="2" xfId="8" applyNumberFormat="1" applyFont="1" applyBorder="1" applyAlignment="1">
      <alignment horizontal="center"/>
    </xf>
    <xf numFmtId="167" fontId="112" fillId="0" borderId="2" xfId="8" applyNumberFormat="1" applyFont="1" applyBorder="1" applyAlignment="1">
      <alignment horizontal="right"/>
    </xf>
    <xf numFmtId="167" fontId="112" fillId="0" borderId="3" xfId="8" applyNumberFormat="1" applyFont="1" applyBorder="1"/>
    <xf numFmtId="167" fontId="59" fillId="0" borderId="48" xfId="8" applyNumberFormat="1" applyFont="1" applyBorder="1" applyAlignment="1">
      <alignment horizontal="center"/>
    </xf>
    <xf numFmtId="167" fontId="59" fillId="0" borderId="28" xfId="8" applyNumberFormat="1" applyFont="1" applyBorder="1" applyAlignment="1">
      <alignment horizontal="center"/>
    </xf>
    <xf numFmtId="167" fontId="59" fillId="0" borderId="5" xfId="8" applyNumberFormat="1" applyFont="1" applyBorder="1" applyAlignment="1">
      <alignment horizontal="center"/>
    </xf>
    <xf numFmtId="167" fontId="112" fillId="0" borderId="5" xfId="8" applyNumberFormat="1" applyFont="1" applyBorder="1" applyAlignment="1">
      <alignment horizontal="center"/>
    </xf>
    <xf numFmtId="167" fontId="59" fillId="0" borderId="0" xfId="8" applyNumberFormat="1" applyFont="1" applyAlignment="1">
      <alignment horizontal="center"/>
    </xf>
    <xf numFmtId="167" fontId="59" fillId="0" borderId="112" xfId="8" applyNumberFormat="1" applyFont="1" applyBorder="1" applyAlignment="1">
      <alignment horizontal="center"/>
    </xf>
    <xf numFmtId="2" fontId="137" fillId="0" borderId="110" xfId="0" applyNumberFormat="1" applyFont="1" applyBorder="1" applyAlignment="1">
      <alignment horizontal="center"/>
    </xf>
    <xf numFmtId="1" fontId="138" fillId="0" borderId="110" xfId="0" applyNumberFormat="1" applyFont="1" applyBorder="1" applyAlignment="1">
      <alignment horizontal="center"/>
    </xf>
    <xf numFmtId="0" fontId="59" fillId="0" borderId="110" xfId="0" applyFont="1" applyBorder="1" applyAlignment="1">
      <alignment horizontal="center"/>
    </xf>
    <xf numFmtId="1" fontId="138" fillId="0" borderId="0" xfId="0" applyNumberFormat="1" applyFont="1" applyAlignment="1">
      <alignment horizontal="center"/>
    </xf>
    <xf numFmtId="0" fontId="59" fillId="0" borderId="51" xfId="8" applyFont="1" applyBorder="1" applyAlignment="1">
      <alignment horizontal="center"/>
    </xf>
    <xf numFmtId="0" fontId="59" fillId="0" borderId="110" xfId="8" applyFont="1" applyBorder="1" applyAlignment="1">
      <alignment horizontal="center"/>
    </xf>
    <xf numFmtId="2" fontId="58" fillId="0" borderId="0" xfId="8" applyNumberFormat="1" applyFont="1" applyAlignment="1">
      <alignment horizontal="center"/>
    </xf>
    <xf numFmtId="1" fontId="52" fillId="0" borderId="0" xfId="8" applyNumberFormat="1" applyFont="1" applyAlignment="1">
      <alignment horizontal="center"/>
    </xf>
    <xf numFmtId="0" fontId="59" fillId="0" borderId="50" xfId="8" applyFont="1" applyBorder="1" applyAlignment="1">
      <alignment horizontal="center"/>
    </xf>
    <xf numFmtId="1" fontId="59" fillId="0" borderId="51" xfId="8" applyNumberFormat="1" applyFont="1" applyBorder="1" applyAlignment="1">
      <alignment horizontal="center"/>
    </xf>
    <xf numFmtId="1" fontId="139" fillId="0" borderId="51" xfId="0" applyNumberFormat="1" applyFont="1" applyBorder="1" applyAlignment="1">
      <alignment horizontal="center"/>
    </xf>
    <xf numFmtId="1" fontId="129" fillId="0" borderId="51" xfId="8" applyNumberFormat="1" applyFont="1" applyBorder="1" applyAlignment="1">
      <alignment horizontal="center"/>
    </xf>
    <xf numFmtId="164" fontId="62" fillId="0" borderId="48" xfId="8" applyNumberFormat="1" applyFont="1" applyBorder="1" applyAlignment="1">
      <alignment horizontal="center"/>
    </xf>
    <xf numFmtId="1" fontId="136" fillId="0" borderId="48" xfId="8" applyNumberFormat="1" applyFont="1" applyBorder="1" applyAlignment="1">
      <alignment horizontal="center"/>
    </xf>
    <xf numFmtId="2" fontId="5" fillId="0" borderId="0" xfId="8" applyNumberFormat="1" applyAlignment="1">
      <alignment horizontal="center"/>
    </xf>
    <xf numFmtId="2" fontId="49" fillId="0" borderId="0" xfId="8" applyNumberFormat="1" applyFont="1" applyAlignment="1">
      <alignment horizontal="center"/>
    </xf>
    <xf numFmtId="2" fontId="136" fillId="0" borderId="48" xfId="8" applyNumberFormat="1" applyFont="1" applyBorder="1" applyAlignment="1">
      <alignment horizontal="center"/>
    </xf>
    <xf numFmtId="167" fontId="113" fillId="0" borderId="0" xfId="8" applyNumberFormat="1" applyFont="1" applyAlignment="1">
      <alignment horizontal="center"/>
    </xf>
    <xf numFmtId="167" fontId="113" fillId="0" borderId="108" xfId="8" applyNumberFormat="1" applyFont="1" applyBorder="1" applyAlignment="1">
      <alignment horizontal="center"/>
    </xf>
    <xf numFmtId="167" fontId="113" fillId="7" borderId="0" xfId="8" applyNumberFormat="1" applyFont="1" applyFill="1" applyAlignment="1">
      <alignment horizontal="center"/>
    </xf>
    <xf numFmtId="167" fontId="113" fillId="5" borderId="0" xfId="8" applyNumberFormat="1" applyFont="1" applyFill="1" applyAlignment="1">
      <alignment horizontal="center"/>
    </xf>
    <xf numFmtId="167" fontId="113" fillId="5" borderId="108" xfId="8" applyNumberFormat="1" applyFont="1" applyFill="1" applyBorder="1" applyAlignment="1">
      <alignment horizontal="center"/>
    </xf>
    <xf numFmtId="0" fontId="5" fillId="0" borderId="0" xfId="0" applyFont="1" applyAlignment="1"/>
    <xf numFmtId="0" fontId="0" fillId="0" borderId="0" xfId="0" applyAlignment="1"/>
    <xf numFmtId="190" fontId="137" fillId="0" borderId="51" xfId="0" applyNumberFormat="1" applyFont="1" applyBorder="1" applyAlignment="1">
      <alignment horizontal="center"/>
    </xf>
    <xf numFmtId="190" fontId="136" fillId="0" borderId="48" xfId="8" applyNumberFormat="1" applyFont="1" applyBorder="1" applyAlignment="1">
      <alignment horizontal="center"/>
    </xf>
    <xf numFmtId="180" fontId="112" fillId="0" borderId="51" xfId="8" applyNumberFormat="1" applyFont="1" applyBorder="1" applyAlignment="1">
      <alignment horizontal="center"/>
    </xf>
    <xf numFmtId="0" fontId="5" fillId="5" borderId="51" xfId="0" applyFont="1" applyFill="1" applyBorder="1"/>
    <xf numFmtId="0" fontId="5" fillId="7" borderId="0" xfId="0" applyFont="1" applyFill="1"/>
    <xf numFmtId="44" fontId="5" fillId="5" borderId="4" xfId="130" applyFont="1" applyFill="1" applyBorder="1"/>
    <xf numFmtId="10" fontId="5" fillId="5" borderId="5" xfId="0" applyNumberFormat="1" applyFont="1" applyFill="1" applyBorder="1"/>
    <xf numFmtId="44" fontId="5" fillId="5" borderId="5" xfId="0" applyNumberFormat="1" applyFont="1" applyFill="1" applyBorder="1"/>
    <xf numFmtId="44" fontId="5" fillId="5" borderId="4" xfId="130" applyFont="1" applyFill="1" applyBorder="1" applyAlignment="1">
      <alignment horizontal="center"/>
    </xf>
    <xf numFmtId="44" fontId="5" fillId="7" borderId="0" xfId="130" applyFont="1" applyFill="1" applyBorder="1"/>
    <xf numFmtId="44" fontId="49" fillId="5" borderId="4" xfId="130" applyFont="1" applyFill="1" applyBorder="1"/>
    <xf numFmtId="0" fontId="49" fillId="5" borderId="51" xfId="0" applyFont="1" applyFill="1" applyBorder="1"/>
    <xf numFmtId="44" fontId="9" fillId="5" borderId="4" xfId="130" applyFont="1" applyFill="1" applyBorder="1"/>
    <xf numFmtId="2" fontId="0" fillId="5" borderId="4" xfId="0" applyNumberFormat="1" applyFill="1" applyBorder="1" applyAlignment="1">
      <alignment horizontal="center"/>
    </xf>
    <xf numFmtId="10" fontId="5" fillId="5" borderId="5" xfId="0" applyNumberFormat="1" applyFont="1" applyFill="1" applyBorder="1" applyAlignment="1">
      <alignment horizontal="center"/>
    </xf>
    <xf numFmtId="0" fontId="0" fillId="5" borderId="53" xfId="0" applyFill="1" applyBorder="1"/>
    <xf numFmtId="1" fontId="5" fillId="5" borderId="61" xfId="130" applyNumberFormat="1" applyFont="1" applyFill="1" applyBorder="1" applyAlignment="1">
      <alignment horizontal="center"/>
    </xf>
    <xf numFmtId="10" fontId="5" fillId="5" borderId="54" xfId="0" applyNumberFormat="1" applyFont="1" applyFill="1" applyBorder="1" applyAlignment="1">
      <alignment horizontal="center"/>
    </xf>
    <xf numFmtId="1" fontId="49" fillId="5" borderId="61" xfId="130" applyNumberFormat="1" applyFont="1" applyFill="1" applyBorder="1" applyAlignment="1">
      <alignment horizontal="center"/>
    </xf>
    <xf numFmtId="10" fontId="49" fillId="5" borderId="54" xfId="0" applyNumberFormat="1" applyFont="1" applyFill="1" applyBorder="1" applyAlignment="1">
      <alignment horizontal="center"/>
    </xf>
    <xf numFmtId="0" fontId="9" fillId="29" borderId="66" xfId="0" applyFont="1" applyFill="1" applyBorder="1"/>
    <xf numFmtId="10" fontId="36" fillId="29" borderId="67" xfId="130" applyNumberFormat="1" applyFont="1" applyFill="1" applyBorder="1" applyAlignment="1">
      <alignment horizontal="center"/>
    </xf>
    <xf numFmtId="10" fontId="14" fillId="29" borderId="68" xfId="0" applyNumberFormat="1" applyFont="1" applyFill="1" applyBorder="1" applyAlignment="1">
      <alignment horizontal="center"/>
    </xf>
    <xf numFmtId="10" fontId="14" fillId="7" borderId="0" xfId="0" applyNumberFormat="1" applyFont="1" applyFill="1" applyAlignment="1">
      <alignment horizontal="center"/>
    </xf>
    <xf numFmtId="10" fontId="14" fillId="7" borderId="0" xfId="130" applyNumberFormat="1" applyFont="1" applyFill="1" applyBorder="1" applyAlignment="1">
      <alignment horizontal="center"/>
    </xf>
    <xf numFmtId="10" fontId="14" fillId="0" borderId="0" xfId="0" applyNumberFormat="1" applyFont="1" applyAlignment="1">
      <alignment horizontal="center"/>
    </xf>
    <xf numFmtId="10" fontId="9" fillId="29" borderId="67" xfId="130" applyNumberFormat="1" applyFont="1" applyFill="1" applyBorder="1" applyAlignment="1">
      <alignment horizontal="center"/>
    </xf>
    <xf numFmtId="10" fontId="57" fillId="29" borderId="68" xfId="0" applyNumberFormat="1" applyFont="1" applyFill="1" applyBorder="1" applyAlignment="1">
      <alignment horizontal="center"/>
    </xf>
    <xf numFmtId="10" fontId="5" fillId="0" borderId="0" xfId="0" applyNumberFormat="1" applyFont="1"/>
    <xf numFmtId="0" fontId="5" fillId="29" borderId="115" xfId="0" applyFont="1" applyFill="1" applyBorder="1"/>
    <xf numFmtId="44" fontId="5" fillId="29" borderId="4" xfId="130" applyFont="1" applyFill="1" applyBorder="1"/>
    <xf numFmtId="10" fontId="5" fillId="29" borderId="116" xfId="0" applyNumberFormat="1" applyFont="1" applyFill="1" applyBorder="1"/>
    <xf numFmtId="0" fontId="5" fillId="29" borderId="51" xfId="0" applyFont="1" applyFill="1" applyBorder="1"/>
    <xf numFmtId="10" fontId="5" fillId="29" borderId="5" xfId="0" applyNumberFormat="1" applyFont="1" applyFill="1" applyBorder="1"/>
    <xf numFmtId="2" fontId="5" fillId="29" borderId="4" xfId="130" applyNumberFormat="1" applyFont="1" applyFill="1" applyBorder="1" applyAlignment="1">
      <alignment horizontal="center"/>
    </xf>
    <xf numFmtId="2" fontId="5" fillId="29" borderId="5" xfId="0" applyNumberFormat="1" applyFont="1" applyFill="1" applyBorder="1" applyAlignment="1">
      <alignment horizontal="center"/>
    </xf>
    <xf numFmtId="2" fontId="5" fillId="7" borderId="0" xfId="0" applyNumberFormat="1" applyFont="1" applyFill="1" applyAlignment="1">
      <alignment horizontal="center"/>
    </xf>
    <xf numFmtId="2" fontId="5" fillId="7" borderId="0" xfId="130" applyNumberFormat="1" applyFont="1" applyFill="1" applyBorder="1" applyAlignment="1">
      <alignment horizontal="center"/>
    </xf>
    <xf numFmtId="2" fontId="5" fillId="0" borderId="0" xfId="0" applyNumberFormat="1" applyFont="1" applyAlignment="1">
      <alignment horizontal="center"/>
    </xf>
    <xf numFmtId="0" fontId="5" fillId="29" borderId="110" xfId="0" applyFont="1" applyFill="1" applyBorder="1"/>
    <xf numFmtId="2" fontId="5" fillId="29" borderId="111" xfId="130" applyNumberFormat="1" applyFont="1" applyFill="1" applyBorder="1" applyAlignment="1">
      <alignment horizontal="center"/>
    </xf>
    <xf numFmtId="2" fontId="5" fillId="29" borderId="113" xfId="130" applyNumberFormat="1" applyFont="1" applyFill="1" applyBorder="1" applyAlignment="1">
      <alignment horizontal="center"/>
    </xf>
    <xf numFmtId="2" fontId="5" fillId="7" borderId="0" xfId="130" applyNumberFormat="1" applyFont="1" applyFill="1" applyBorder="1"/>
    <xf numFmtId="2" fontId="5" fillId="7" borderId="0" xfId="0" applyNumberFormat="1" applyFont="1" applyFill="1"/>
    <xf numFmtId="2" fontId="5" fillId="0" borderId="0" xfId="0" applyNumberFormat="1" applyFont="1"/>
    <xf numFmtId="44" fontId="5" fillId="0" borderId="0" xfId="130" applyFont="1" applyFill="1" applyBorder="1"/>
    <xf numFmtId="0" fontId="16" fillId="5" borderId="50" xfId="0" applyFont="1" applyFill="1" applyBorder="1"/>
    <xf numFmtId="44" fontId="5" fillId="5" borderId="1" xfId="130" applyFont="1" applyFill="1" applyBorder="1"/>
    <xf numFmtId="10" fontId="5" fillId="5" borderId="3" xfId="0" applyNumberFormat="1" applyFont="1" applyFill="1" applyBorder="1"/>
    <xf numFmtId="1" fontId="45" fillId="5" borderId="4" xfId="130" applyNumberFormat="1" applyFont="1" applyFill="1" applyBorder="1" applyAlignment="1" applyProtection="1">
      <alignment horizontal="center"/>
      <protection locked="0"/>
    </xf>
    <xf numFmtId="1" fontId="49" fillId="5" borderId="5" xfId="0" applyNumberFormat="1" applyFont="1" applyFill="1" applyBorder="1" applyAlignment="1">
      <alignment horizontal="center"/>
    </xf>
    <xf numFmtId="1" fontId="49" fillId="7" borderId="0" xfId="0" applyNumberFormat="1" applyFont="1" applyFill="1" applyAlignment="1">
      <alignment horizontal="center"/>
    </xf>
    <xf numFmtId="1" fontId="49" fillId="7" borderId="0" xfId="130" applyNumberFormat="1" applyFont="1" applyFill="1" applyBorder="1" applyAlignment="1">
      <alignment horizontal="center"/>
    </xf>
    <xf numFmtId="1" fontId="49" fillId="0" borderId="0" xfId="0" applyNumberFormat="1" applyFont="1" applyAlignment="1">
      <alignment horizontal="center"/>
    </xf>
    <xf numFmtId="2" fontId="36" fillId="5" borderId="4" xfId="130" applyNumberFormat="1" applyFont="1" applyFill="1" applyBorder="1" applyAlignment="1" applyProtection="1">
      <alignment horizontal="center"/>
    </xf>
    <xf numFmtId="2" fontId="43" fillId="5" borderId="5" xfId="0" applyNumberFormat="1" applyFont="1" applyFill="1" applyBorder="1" applyAlignment="1">
      <alignment horizontal="center"/>
    </xf>
    <xf numFmtId="2" fontId="43" fillId="7" borderId="0" xfId="0" applyNumberFormat="1" applyFont="1" applyFill="1" applyAlignment="1">
      <alignment horizontal="center"/>
    </xf>
    <xf numFmtId="2" fontId="43" fillId="7" borderId="0" xfId="130" applyNumberFormat="1" applyFont="1" applyFill="1" applyBorder="1" applyAlignment="1" applyProtection="1">
      <alignment horizontal="center"/>
    </xf>
    <xf numFmtId="2" fontId="43" fillId="0" borderId="0" xfId="0" applyNumberFormat="1" applyFont="1" applyAlignment="1">
      <alignment horizontal="center"/>
    </xf>
    <xf numFmtId="0" fontId="5" fillId="5" borderId="53" xfId="0" applyFont="1" applyFill="1" applyBorder="1"/>
    <xf numFmtId="10" fontId="14" fillId="29" borderId="67" xfId="130" applyNumberFormat="1" applyFont="1" applyFill="1" applyBorder="1" applyAlignment="1" applyProtection="1">
      <alignment horizontal="center"/>
      <protection locked="0"/>
    </xf>
    <xf numFmtId="44" fontId="46" fillId="29" borderId="4" xfId="130" applyFont="1" applyFill="1" applyBorder="1" applyProtection="1">
      <protection locked="0"/>
    </xf>
    <xf numFmtId="39" fontId="5" fillId="29" borderId="4" xfId="130" applyNumberFormat="1" applyFont="1" applyFill="1" applyBorder="1" applyAlignment="1">
      <alignment horizontal="center"/>
    </xf>
    <xf numFmtId="10" fontId="5" fillId="29" borderId="5" xfId="0" applyNumberFormat="1" applyFont="1" applyFill="1" applyBorder="1" applyAlignment="1">
      <alignment horizontal="center"/>
    </xf>
    <xf numFmtId="44" fontId="49" fillId="5" borderId="5" xfId="0" applyNumberFormat="1" applyFont="1" applyFill="1" applyBorder="1"/>
    <xf numFmtId="0" fontId="49" fillId="7" borderId="0" xfId="0" applyFont="1" applyFill="1"/>
    <xf numFmtId="10" fontId="49" fillId="5" borderId="5" xfId="0" applyNumberFormat="1" applyFont="1" applyFill="1" applyBorder="1"/>
    <xf numFmtId="44" fontId="49" fillId="7" borderId="0" xfId="130" applyFont="1" applyFill="1" applyBorder="1"/>
    <xf numFmtId="0" fontId="49" fillId="0" borderId="0" xfId="0" applyFont="1"/>
    <xf numFmtId="1" fontId="45" fillId="5" borderId="4" xfId="130" applyNumberFormat="1" applyFont="1" applyFill="1" applyBorder="1" applyAlignment="1">
      <alignment horizontal="center"/>
    </xf>
    <xf numFmtId="0" fontId="5" fillId="34" borderId="51" xfId="0" applyFont="1" applyFill="1" applyBorder="1"/>
    <xf numFmtId="0" fontId="5" fillId="23" borderId="0" xfId="0" applyFont="1" applyFill="1"/>
    <xf numFmtId="2" fontId="91" fillId="34" borderId="5" xfId="0" applyNumberFormat="1" applyFont="1" applyFill="1" applyBorder="1" applyAlignment="1">
      <alignment horizontal="center"/>
    </xf>
    <xf numFmtId="2" fontId="91" fillId="23" borderId="0" xfId="0" applyNumberFormat="1" applyFont="1" applyFill="1" applyAlignment="1">
      <alignment horizontal="center"/>
    </xf>
    <xf numFmtId="2" fontId="91" fillId="0" borderId="0" xfId="0" applyNumberFormat="1" applyFont="1" applyAlignment="1">
      <alignment horizontal="center"/>
    </xf>
    <xf numFmtId="2" fontId="5" fillId="29" borderId="110" xfId="0" applyNumberFormat="1" applyFont="1" applyFill="1" applyBorder="1"/>
    <xf numFmtId="44" fontId="36" fillId="5" borderId="4" xfId="130" applyFont="1" applyFill="1" applyBorder="1"/>
    <xf numFmtId="44" fontId="134" fillId="5" borderId="4" xfId="130" applyFont="1" applyFill="1" applyBorder="1" applyProtection="1">
      <protection locked="0"/>
    </xf>
    <xf numFmtId="7" fontId="0" fillId="0" borderId="0" xfId="0" applyNumberFormat="1"/>
    <xf numFmtId="7" fontId="17" fillId="28" borderId="4" xfId="0" applyNumberFormat="1" applyFont="1" applyFill="1" applyBorder="1" applyProtection="1">
      <protection locked="0"/>
    </xf>
    <xf numFmtId="7" fontId="55" fillId="17" borderId="4" xfId="0" applyNumberFormat="1" applyFont="1" applyFill="1" applyBorder="1"/>
    <xf numFmtId="7" fontId="5" fillId="28" borderId="4" xfId="6" applyNumberFormat="1" applyFont="1" applyFill="1" applyBorder="1"/>
    <xf numFmtId="7" fontId="17" fillId="28" borderId="58" xfId="6" applyNumberFormat="1" applyFont="1" applyFill="1" applyBorder="1" applyProtection="1">
      <protection locked="0"/>
    </xf>
    <xf numFmtId="7" fontId="0" fillId="28" borderId="4" xfId="6" applyNumberFormat="1" applyFont="1" applyFill="1" applyBorder="1"/>
    <xf numFmtId="7" fontId="31" fillId="6" borderId="58" xfId="6" applyNumberFormat="1" applyFont="1" applyFill="1" applyBorder="1" applyProtection="1"/>
    <xf numFmtId="7" fontId="82" fillId="26" borderId="58" xfId="6" applyNumberFormat="1" applyFont="1" applyFill="1" applyBorder="1"/>
    <xf numFmtId="7" fontId="55" fillId="17" borderId="4" xfId="6" applyNumberFormat="1" applyFont="1" applyFill="1" applyBorder="1"/>
    <xf numFmtId="7" fontId="17" fillId="28" borderId="4" xfId="6" applyNumberFormat="1" applyFont="1" applyFill="1" applyBorder="1" applyProtection="1">
      <protection locked="0"/>
    </xf>
    <xf numFmtId="7" fontId="82" fillId="6" borderId="58" xfId="6" applyNumberFormat="1" applyFont="1" applyFill="1" applyBorder="1"/>
    <xf numFmtId="7" fontId="36" fillId="28" borderId="4" xfId="6" applyNumberFormat="1" applyFont="1" applyFill="1" applyBorder="1"/>
    <xf numFmtId="7" fontId="55" fillId="28" borderId="4" xfId="6" applyNumberFormat="1" applyFont="1" applyFill="1" applyBorder="1"/>
    <xf numFmtId="7" fontId="82" fillId="26" borderId="4" xfId="6" applyNumberFormat="1" applyFont="1" applyFill="1" applyBorder="1"/>
    <xf numFmtId="7" fontId="32" fillId="6" borderId="4" xfId="6" applyNumberFormat="1" applyFont="1" applyFill="1" applyBorder="1"/>
    <xf numFmtId="7" fontId="32" fillId="28" borderId="4" xfId="6" applyNumberFormat="1" applyFont="1" applyFill="1" applyBorder="1"/>
    <xf numFmtId="7" fontId="55" fillId="26" borderId="6" xfId="6" applyNumberFormat="1" applyFont="1" applyFill="1" applyBorder="1"/>
    <xf numFmtId="7" fontId="0" fillId="28" borderId="4" xfId="0" applyNumberFormat="1" applyFill="1" applyBorder="1"/>
    <xf numFmtId="7" fontId="31" fillId="26" borderId="13" xfId="0" applyNumberFormat="1" applyFont="1" applyFill="1" applyBorder="1"/>
    <xf numFmtId="10" fontId="49" fillId="0" borderId="5" xfId="8" applyNumberFormat="1" applyFont="1" applyBorder="1"/>
    <xf numFmtId="7" fontId="32" fillId="26" borderId="4" xfId="0" applyNumberFormat="1" applyFont="1" applyFill="1" applyBorder="1" applyProtection="1">
      <protection locked="0"/>
    </xf>
    <xf numFmtId="44" fontId="17" fillId="28" borderId="4" xfId="6" applyNumberFormat="1" applyFont="1" applyFill="1" applyBorder="1" applyProtection="1">
      <protection locked="0"/>
    </xf>
    <xf numFmtId="188" fontId="35" fillId="5" borderId="0" xfId="124" applyNumberFormat="1" applyFont="1" applyFill="1" applyBorder="1" applyAlignment="1" applyProtection="1">
      <alignment horizontal="center"/>
      <protection locked="0"/>
    </xf>
    <xf numFmtId="0" fontId="1" fillId="20" borderId="7" xfId="124" applyFont="1" applyFill="1" applyBorder="1" applyAlignment="1">
      <alignment horizontal="center"/>
    </xf>
    <xf numFmtId="0" fontId="43" fillId="0" borderId="0" xfId="8" applyFont="1"/>
    <xf numFmtId="0" fontId="1" fillId="20" borderId="2" xfId="124" applyFont="1" applyFill="1" applyBorder="1"/>
    <xf numFmtId="0" fontId="1" fillId="20" borderId="0" xfId="124" applyFont="1" applyFill="1" applyBorder="1"/>
    <xf numFmtId="0" fontId="43" fillId="20" borderId="0" xfId="8" applyFont="1" applyFill="1" applyBorder="1"/>
    <xf numFmtId="0" fontId="1" fillId="18" borderId="7" xfId="124" applyFont="1" applyFill="1" applyBorder="1" applyAlignment="1">
      <alignment horizontal="center"/>
    </xf>
    <xf numFmtId="0" fontId="1" fillId="18" borderId="2" xfId="124" applyFont="1" applyFill="1" applyBorder="1"/>
    <xf numFmtId="0" fontId="1" fillId="18" borderId="0" xfId="124" applyFont="1" applyFill="1" applyBorder="1"/>
    <xf numFmtId="0" fontId="43" fillId="18" borderId="0" xfId="8" applyFont="1" applyFill="1" applyBorder="1"/>
    <xf numFmtId="0" fontId="1" fillId="21" borderId="7" xfId="124" applyFont="1" applyFill="1" applyBorder="1" applyAlignment="1">
      <alignment horizontal="center"/>
    </xf>
    <xf numFmtId="0" fontId="1" fillId="21" borderId="2" xfId="124" applyFont="1" applyFill="1" applyBorder="1"/>
    <xf numFmtId="0" fontId="1" fillId="21" borderId="0" xfId="124" applyFont="1" applyFill="1" applyBorder="1"/>
    <xf numFmtId="0" fontId="43" fillId="21" borderId="0" xfId="8" applyFont="1" applyFill="1" applyBorder="1"/>
    <xf numFmtId="188" fontId="35" fillId="5" borderId="0" xfId="124" applyNumberFormat="1" applyFont="1" applyFill="1" applyAlignment="1" applyProtection="1">
      <alignment horizontal="center"/>
    </xf>
    <xf numFmtId="0" fontId="63" fillId="11" borderId="1" xfId="0" applyFont="1" applyFill="1" applyBorder="1" applyAlignment="1" applyProtection="1">
      <alignment horizontal="center"/>
    </xf>
    <xf numFmtId="0" fontId="63" fillId="11" borderId="2" xfId="0" applyFont="1" applyFill="1" applyBorder="1" applyAlignment="1" applyProtection="1">
      <alignment horizontal="center"/>
    </xf>
    <xf numFmtId="0" fontId="63" fillId="11" borderId="3" xfId="0" applyFont="1" applyFill="1" applyBorder="1" applyAlignment="1" applyProtection="1">
      <alignment horizontal="center"/>
    </xf>
    <xf numFmtId="0" fontId="64" fillId="11" borderId="4" xfId="0" applyFont="1" applyFill="1" applyBorder="1" applyAlignment="1" applyProtection="1">
      <alignment horizontal="center"/>
    </xf>
    <xf numFmtId="0" fontId="65" fillId="11" borderId="0" xfId="0" applyFont="1" applyFill="1" applyBorder="1" applyAlignment="1" applyProtection="1">
      <alignment horizontal="center"/>
    </xf>
    <xf numFmtId="0" fontId="65" fillId="11" borderId="5" xfId="0" applyFont="1" applyFill="1" applyBorder="1" applyAlignment="1" applyProtection="1">
      <alignment horizontal="center"/>
    </xf>
    <xf numFmtId="14" fontId="33" fillId="6" borderId="13" xfId="0" applyNumberFormat="1" applyFont="1" applyFill="1" applyBorder="1" applyAlignment="1">
      <alignment horizontal="center" wrapText="1"/>
    </xf>
    <xf numFmtId="0" fontId="33" fillId="6" borderId="27" xfId="0" applyFont="1" applyFill="1" applyBorder="1" applyAlignment="1">
      <alignment horizontal="center" wrapText="1"/>
    </xf>
    <xf numFmtId="0" fontId="0" fillId="2" borderId="6" xfId="0" applyFont="1" applyFill="1" applyBorder="1" applyAlignment="1">
      <alignment horizontal="center" wrapText="1"/>
    </xf>
    <xf numFmtId="0" fontId="0" fillId="2" borderId="31" xfId="0" applyFont="1" applyFill="1" applyBorder="1" applyAlignment="1">
      <alignment horizontal="center" wrapText="1"/>
    </xf>
    <xf numFmtId="3" fontId="9" fillId="2" borderId="7" xfId="0" applyNumberFormat="1" applyFont="1" applyFill="1" applyBorder="1" applyAlignment="1">
      <alignment horizontal="left"/>
    </xf>
    <xf numFmtId="0" fontId="0" fillId="2" borderId="7" xfId="0" applyFill="1" applyBorder="1" applyAlignment="1">
      <alignment horizontal="left"/>
    </xf>
    <xf numFmtId="0" fontId="13" fillId="4" borderId="13" xfId="0" applyFont="1" applyFill="1" applyBorder="1" applyAlignment="1">
      <alignment horizontal="center" wrapText="1"/>
    </xf>
    <xf numFmtId="0" fontId="9" fillId="0" borderId="27" xfId="0" applyFont="1" applyBorder="1" applyAlignment="1">
      <alignment horizontal="center" wrapText="1"/>
    </xf>
    <xf numFmtId="0" fontId="9" fillId="0" borderId="28" xfId="0" applyFont="1" applyBorder="1" applyAlignment="1">
      <alignment horizontal="center" wrapText="1"/>
    </xf>
    <xf numFmtId="0" fontId="13" fillId="4" borderId="27" xfId="0" applyFont="1" applyFill="1" applyBorder="1" applyAlignment="1">
      <alignment horizontal="center" wrapText="1"/>
    </xf>
    <xf numFmtId="0" fontId="13" fillId="4" borderId="28" xfId="0" applyFont="1" applyFill="1" applyBorder="1" applyAlignment="1">
      <alignment horizontal="center" wrapText="1"/>
    </xf>
    <xf numFmtId="0" fontId="9" fillId="2" borderId="2" xfId="0" applyFont="1" applyFill="1" applyBorder="1" applyAlignment="1"/>
    <xf numFmtId="0" fontId="0" fillId="2" borderId="3" xfId="0" applyFill="1" applyBorder="1" applyAlignment="1"/>
    <xf numFmtId="0" fontId="13" fillId="4" borderId="6" xfId="0" applyFont="1" applyFill="1" applyBorder="1" applyAlignment="1">
      <alignment horizontal="center" wrapText="1"/>
    </xf>
    <xf numFmtId="0" fontId="9" fillId="0" borderId="7" xfId="0" applyFont="1" applyBorder="1" applyAlignment="1">
      <alignment horizontal="center" wrapText="1"/>
    </xf>
    <xf numFmtId="0" fontId="9" fillId="0" borderId="8" xfId="0" applyFont="1" applyBorder="1" applyAlignment="1">
      <alignment horizontal="center" wrapText="1"/>
    </xf>
    <xf numFmtId="0" fontId="6" fillId="11" borderId="1" xfId="0" applyFont="1" applyFill="1" applyBorder="1" applyAlignment="1">
      <alignment horizontal="center"/>
    </xf>
    <xf numFmtId="0" fontId="6" fillId="11" borderId="2" xfId="0" applyFont="1" applyFill="1" applyBorder="1" applyAlignment="1">
      <alignment horizontal="center"/>
    </xf>
    <xf numFmtId="0" fontId="6" fillId="11" borderId="3" xfId="0" applyFont="1" applyFill="1" applyBorder="1" applyAlignment="1">
      <alignment horizontal="center"/>
    </xf>
    <xf numFmtId="0" fontId="7" fillId="11" borderId="4" xfId="0" applyFont="1" applyFill="1" applyBorder="1" applyAlignment="1">
      <alignment horizontal="center"/>
    </xf>
    <xf numFmtId="0" fontId="8" fillId="11" borderId="0" xfId="0" applyFont="1" applyFill="1" applyBorder="1" applyAlignment="1">
      <alignment horizontal="center"/>
    </xf>
    <xf numFmtId="0" fontId="8" fillId="11" borderId="5" xfId="0" applyFont="1" applyFill="1" applyBorder="1" applyAlignment="1">
      <alignment horizontal="center"/>
    </xf>
    <xf numFmtId="0" fontId="15" fillId="11" borderId="6" xfId="0" applyFont="1" applyFill="1" applyBorder="1" applyAlignment="1">
      <alignment horizontal="center" vertical="center" wrapText="1"/>
    </xf>
    <xf numFmtId="0" fontId="47" fillId="11" borderId="7" xfId="0" applyFont="1" applyFill="1" applyBorder="1" applyAlignment="1">
      <alignment horizontal="center" vertical="center" wrapText="1"/>
    </xf>
    <xf numFmtId="0" fontId="47" fillId="11" borderId="8" xfId="0" applyFont="1" applyFill="1" applyBorder="1" applyAlignment="1">
      <alignment horizontal="center" vertical="center" wrapText="1"/>
    </xf>
    <xf numFmtId="14" fontId="12" fillId="3" borderId="13" xfId="0" applyNumberFormat="1" applyFont="1" applyFill="1" applyBorder="1" applyAlignment="1">
      <alignment horizontal="center" wrapText="1"/>
    </xf>
    <xf numFmtId="14" fontId="12" fillId="3" borderId="14" xfId="0" applyNumberFormat="1" applyFont="1" applyFill="1" applyBorder="1" applyAlignment="1">
      <alignment horizontal="center" wrapText="1"/>
    </xf>
    <xf numFmtId="0" fontId="12" fillId="3" borderId="13" xfId="0" applyFont="1" applyFill="1" applyBorder="1" applyAlignment="1">
      <alignment horizontal="center" wrapText="1"/>
    </xf>
    <xf numFmtId="0" fontId="12" fillId="3" borderId="14" xfId="0" applyFont="1" applyFill="1" applyBorder="1" applyAlignment="1">
      <alignment horizontal="center" wrapText="1"/>
    </xf>
    <xf numFmtId="0" fontId="6" fillId="11" borderId="1" xfId="0" applyFont="1" applyFill="1" applyBorder="1" applyAlignment="1" applyProtection="1">
      <alignment horizontal="center" wrapText="1"/>
    </xf>
    <xf numFmtId="0" fontId="6" fillId="11" borderId="2" xfId="0" applyFont="1" applyFill="1" applyBorder="1" applyAlignment="1" applyProtection="1">
      <alignment horizontal="center" wrapText="1"/>
    </xf>
    <xf numFmtId="0" fontId="0" fillId="11" borderId="3" xfId="0" applyFill="1" applyBorder="1" applyAlignment="1" applyProtection="1">
      <alignment wrapText="1"/>
    </xf>
    <xf numFmtId="0" fontId="7" fillId="11" borderId="4" xfId="0" applyFont="1" applyFill="1" applyBorder="1" applyAlignment="1" applyProtection="1">
      <alignment horizontal="center" wrapText="1"/>
    </xf>
    <xf numFmtId="0" fontId="8" fillId="11" borderId="0" xfId="0" applyFont="1" applyFill="1" applyBorder="1" applyAlignment="1" applyProtection="1">
      <alignment horizontal="center" wrapText="1"/>
    </xf>
    <xf numFmtId="0" fontId="0" fillId="11" borderId="5" xfId="0" applyFill="1" applyBorder="1" applyAlignment="1" applyProtection="1">
      <alignment wrapText="1"/>
    </xf>
    <xf numFmtId="0" fontId="9" fillId="11" borderId="6" xfId="0" applyFont="1" applyFill="1" applyBorder="1" applyAlignment="1" applyProtection="1">
      <alignment horizontal="center" vertical="center" wrapText="1"/>
    </xf>
    <xf numFmtId="0" fontId="0" fillId="11" borderId="7" xfId="0" applyFill="1" applyBorder="1" applyAlignment="1" applyProtection="1">
      <alignment horizontal="center" vertical="center" wrapText="1"/>
    </xf>
    <xf numFmtId="0" fontId="0" fillId="11" borderId="8" xfId="0" applyFill="1" applyBorder="1" applyAlignment="1" applyProtection="1">
      <alignment wrapText="1"/>
    </xf>
    <xf numFmtId="0" fontId="40" fillId="6" borderId="13" xfId="0" applyFont="1" applyFill="1" applyBorder="1" applyAlignment="1" applyProtection="1">
      <alignment horizontal="center" wrapText="1"/>
    </xf>
    <xf numFmtId="0" fontId="41" fillId="6" borderId="27" xfId="0" applyFont="1" applyFill="1" applyBorder="1" applyAlignment="1" applyProtection="1">
      <alignment horizontal="center" wrapText="1"/>
    </xf>
    <xf numFmtId="170" fontId="40" fillId="6" borderId="13" xfId="0" applyNumberFormat="1" applyFont="1" applyFill="1" applyBorder="1" applyAlignment="1" applyProtection="1">
      <alignment horizontal="center" wrapText="1"/>
    </xf>
    <xf numFmtId="0" fontId="41" fillId="6" borderId="17" xfId="0" applyFont="1" applyFill="1" applyBorder="1" applyAlignment="1" applyProtection="1">
      <alignment wrapText="1"/>
    </xf>
    <xf numFmtId="14" fontId="31" fillId="3" borderId="13" xfId="0" applyNumberFormat="1" applyFont="1" applyFill="1" applyBorder="1" applyAlignment="1" applyProtection="1">
      <alignment horizontal="center" wrapText="1"/>
    </xf>
    <xf numFmtId="14" fontId="31" fillId="3" borderId="14" xfId="0" applyNumberFormat="1" applyFont="1" applyFill="1" applyBorder="1" applyAlignment="1" applyProtection="1">
      <alignment horizontal="center" wrapText="1"/>
    </xf>
    <xf numFmtId="0" fontId="31" fillId="3" borderId="4" xfId="0" applyFont="1" applyFill="1" applyBorder="1" applyAlignment="1" applyProtection="1">
      <alignment horizontal="center" wrapText="1"/>
    </xf>
    <xf numFmtId="0" fontId="31" fillId="3" borderId="49" xfId="0" applyFont="1" applyFill="1" applyBorder="1" applyAlignment="1" applyProtection="1">
      <alignment horizontal="center" wrapText="1"/>
    </xf>
    <xf numFmtId="0" fontId="36" fillId="12" borderId="13" xfId="0" applyFont="1" applyFill="1" applyBorder="1" applyAlignment="1" applyProtection="1">
      <alignment horizontal="center" wrapText="1"/>
    </xf>
    <xf numFmtId="0" fontId="43" fillId="2" borderId="28" xfId="0" applyFont="1" applyFill="1" applyBorder="1" applyAlignment="1" applyProtection="1">
      <alignment horizontal="center" wrapText="1"/>
    </xf>
    <xf numFmtId="0" fontId="75" fillId="21" borderId="1" xfId="124" applyFont="1" applyFill="1" applyBorder="1" applyAlignment="1">
      <alignment horizontal="center" vertical="center" wrapText="1"/>
    </xf>
    <xf numFmtId="0" fontId="2" fillId="21" borderId="4" xfId="124" applyFont="1" applyFill="1" applyBorder="1" applyAlignment="1">
      <alignment horizontal="center" vertical="center" wrapText="1"/>
    </xf>
    <xf numFmtId="0" fontId="2" fillId="21" borderId="6" xfId="124" applyFont="1" applyFill="1" applyBorder="1" applyAlignment="1">
      <alignment horizontal="center" vertical="center" wrapText="1"/>
    </xf>
    <xf numFmtId="0" fontId="75" fillId="21" borderId="3" xfId="124" applyFont="1" applyFill="1" applyBorder="1" applyAlignment="1">
      <alignment horizontal="center" vertical="center" wrapText="1"/>
    </xf>
    <xf numFmtId="0" fontId="2" fillId="21" borderId="5" xfId="124" applyFont="1" applyFill="1" applyBorder="1" applyAlignment="1">
      <alignment horizontal="center" vertical="center" wrapText="1"/>
    </xf>
    <xf numFmtId="0" fontId="2" fillId="21" borderId="8" xfId="124" applyFont="1" applyFill="1" applyBorder="1" applyAlignment="1">
      <alignment horizontal="center" vertical="center" wrapText="1"/>
    </xf>
    <xf numFmtId="0" fontId="75" fillId="18" borderId="1" xfId="124" applyFont="1" applyFill="1" applyBorder="1" applyAlignment="1">
      <alignment horizontal="center" vertical="center" wrapText="1"/>
    </xf>
    <xf numFmtId="0" fontId="2" fillId="18" borderId="4" xfId="124" applyFont="1" applyFill="1" applyBorder="1" applyAlignment="1">
      <alignment horizontal="center" vertical="center" wrapText="1"/>
    </xf>
    <xf numFmtId="0" fontId="2" fillId="18" borderId="6" xfId="124" applyFont="1" applyFill="1" applyBorder="1" applyAlignment="1">
      <alignment horizontal="center" vertical="center" wrapText="1"/>
    </xf>
    <xf numFmtId="0" fontId="75" fillId="18" borderId="3" xfId="124" applyFont="1" applyFill="1" applyBorder="1" applyAlignment="1">
      <alignment horizontal="center" vertical="center" wrapText="1"/>
    </xf>
    <xf numFmtId="0" fontId="2" fillId="18" borderId="5" xfId="124" applyFont="1" applyFill="1" applyBorder="1" applyAlignment="1">
      <alignment horizontal="center" vertical="center" wrapText="1"/>
    </xf>
    <xf numFmtId="0" fontId="2" fillId="18" borderId="8" xfId="124" applyFont="1" applyFill="1" applyBorder="1" applyAlignment="1">
      <alignment horizontal="center" vertical="center" wrapText="1"/>
    </xf>
    <xf numFmtId="0" fontId="75" fillId="2" borderId="1" xfId="124" applyFont="1" applyFill="1" applyBorder="1" applyAlignment="1">
      <alignment horizontal="center" vertical="center" wrapText="1"/>
    </xf>
    <xf numFmtId="0" fontId="2" fillId="2" borderId="4" xfId="124" applyFont="1" applyFill="1" applyBorder="1" applyAlignment="1">
      <alignment horizontal="center" vertical="center" wrapText="1"/>
    </xf>
    <xf numFmtId="0" fontId="2" fillId="2" borderId="6" xfId="124" applyFont="1" applyFill="1" applyBorder="1" applyAlignment="1">
      <alignment horizontal="center" vertical="center" wrapText="1"/>
    </xf>
    <xf numFmtId="0" fontId="75" fillId="2" borderId="3" xfId="124" applyFont="1" applyFill="1" applyBorder="1" applyAlignment="1">
      <alignment horizontal="center" vertical="center" wrapText="1"/>
    </xf>
    <xf numFmtId="0" fontId="2" fillId="2" borderId="5" xfId="124" applyFont="1" applyFill="1" applyBorder="1" applyAlignment="1">
      <alignment horizontal="center" vertical="center" wrapText="1"/>
    </xf>
    <xf numFmtId="0" fontId="2" fillId="2" borderId="8" xfId="124" applyFont="1" applyFill="1" applyBorder="1" applyAlignment="1">
      <alignment horizontal="center" vertical="center" wrapText="1"/>
    </xf>
    <xf numFmtId="0" fontId="75" fillId="20" borderId="1" xfId="124" applyFont="1" applyFill="1" applyBorder="1" applyAlignment="1">
      <alignment horizontal="center" vertical="center" wrapText="1"/>
    </xf>
    <xf numFmtId="0" fontId="2" fillId="20" borderId="4" xfId="124" applyFont="1" applyFill="1" applyBorder="1" applyAlignment="1">
      <alignment horizontal="center" vertical="center" wrapText="1"/>
    </xf>
    <xf numFmtId="0" fontId="2" fillId="20" borderId="6" xfId="124" applyFont="1" applyFill="1" applyBorder="1" applyAlignment="1">
      <alignment horizontal="center" vertical="center" wrapText="1"/>
    </xf>
    <xf numFmtId="0" fontId="75" fillId="20" borderId="3" xfId="124" applyFont="1" applyFill="1" applyBorder="1" applyAlignment="1">
      <alignment horizontal="center" vertical="center" wrapText="1"/>
    </xf>
    <xf numFmtId="0" fontId="2" fillId="20" borderId="5" xfId="124" applyFont="1" applyFill="1" applyBorder="1" applyAlignment="1">
      <alignment horizontal="center" vertical="center" wrapText="1"/>
    </xf>
    <xf numFmtId="0" fontId="2" fillId="20" borderId="8" xfId="124" applyFont="1" applyFill="1" applyBorder="1" applyAlignment="1">
      <alignment horizontal="center" vertical="center" wrapText="1"/>
    </xf>
    <xf numFmtId="0" fontId="71" fillId="6" borderId="1" xfId="124" applyFont="1" applyFill="1" applyBorder="1" applyAlignment="1">
      <alignment horizontal="center" vertical="center" wrapText="1"/>
    </xf>
    <xf numFmtId="0" fontId="68" fillId="6" borderId="4" xfId="124" applyFont="1" applyFill="1" applyBorder="1" applyAlignment="1">
      <alignment horizontal="center" vertical="center" wrapText="1"/>
    </xf>
    <xf numFmtId="0" fontId="68" fillId="6" borderId="6" xfId="124" applyFont="1" applyFill="1" applyBorder="1" applyAlignment="1">
      <alignment horizontal="center" vertical="center" wrapText="1"/>
    </xf>
    <xf numFmtId="0" fontId="71" fillId="6" borderId="3" xfId="124" applyFont="1" applyFill="1" applyBorder="1" applyAlignment="1">
      <alignment horizontal="center" vertical="center" wrapText="1"/>
    </xf>
    <xf numFmtId="0" fontId="68" fillId="6" borderId="5" xfId="124" applyFont="1" applyFill="1" applyBorder="1" applyAlignment="1">
      <alignment horizontal="center" vertical="center" wrapText="1"/>
    </xf>
    <xf numFmtId="0" fontId="68" fillId="6" borderId="8" xfId="124" applyFont="1" applyFill="1" applyBorder="1" applyAlignment="1">
      <alignment horizontal="center" vertical="center" wrapText="1"/>
    </xf>
    <xf numFmtId="0" fontId="72" fillId="6" borderId="0" xfId="124" applyFont="1" applyFill="1" applyBorder="1" applyAlignment="1">
      <alignment horizontal="center" wrapText="1"/>
    </xf>
    <xf numFmtId="0" fontId="32" fillId="6" borderId="0" xfId="0" applyFont="1" applyFill="1" applyBorder="1" applyAlignment="1">
      <alignment horizontal="center" wrapText="1"/>
    </xf>
    <xf numFmtId="0" fontId="74" fillId="6" borderId="0" xfId="124" applyFont="1" applyFill="1" applyBorder="1" applyAlignment="1">
      <alignment horizontal="center" wrapText="1"/>
    </xf>
    <xf numFmtId="177" fontId="35" fillId="5" borderId="0" xfId="124" applyNumberFormat="1" applyFont="1" applyFill="1" applyBorder="1" applyAlignment="1" applyProtection="1">
      <alignment horizontal="center" wrapText="1"/>
    </xf>
    <xf numFmtId="177" fontId="43" fillId="5" borderId="0" xfId="0" applyNumberFormat="1" applyFont="1" applyFill="1" applyBorder="1" applyAlignment="1" applyProtection="1">
      <alignment horizontal="center" wrapText="1"/>
    </xf>
    <xf numFmtId="0" fontId="69" fillId="6" borderId="1" xfId="8" applyFont="1" applyFill="1" applyBorder="1" applyAlignment="1">
      <alignment horizontal="center" vertical="center" wrapText="1"/>
    </xf>
    <xf numFmtId="0" fontId="69" fillId="6" borderId="2" xfId="0" applyFont="1" applyFill="1" applyBorder="1" applyAlignment="1">
      <alignment horizontal="center" vertical="center" wrapText="1"/>
    </xf>
    <xf numFmtId="0" fontId="69" fillId="6" borderId="3" xfId="0" applyFont="1" applyFill="1" applyBorder="1" applyAlignment="1">
      <alignment horizontal="center" vertical="center" wrapText="1"/>
    </xf>
    <xf numFmtId="0" fontId="69" fillId="6" borderId="6" xfId="0" applyFont="1" applyFill="1" applyBorder="1" applyAlignment="1">
      <alignment horizontal="center" vertical="center" wrapText="1"/>
    </xf>
    <xf numFmtId="0" fontId="69" fillId="6" borderId="7" xfId="0" applyFont="1" applyFill="1" applyBorder="1" applyAlignment="1">
      <alignment horizontal="center" vertical="center" wrapText="1"/>
    </xf>
    <xf numFmtId="0" fontId="69" fillId="6" borderId="8" xfId="0" applyFont="1" applyFill="1" applyBorder="1" applyAlignment="1">
      <alignment horizontal="center" vertical="center" wrapText="1"/>
    </xf>
    <xf numFmtId="0" fontId="76" fillId="6" borderId="73" xfId="0" applyFont="1" applyFill="1" applyBorder="1" applyAlignment="1">
      <alignment horizontal="center" vertical="center" wrapText="1"/>
    </xf>
    <xf numFmtId="0" fontId="76" fillId="6" borderId="74" xfId="0" applyFont="1" applyFill="1" applyBorder="1" applyAlignment="1">
      <alignment horizontal="center" vertical="center" wrapText="1"/>
    </xf>
    <xf numFmtId="0" fontId="76" fillId="6" borderId="75" xfId="0" applyFont="1" applyFill="1" applyBorder="1" applyAlignment="1">
      <alignment horizontal="center" vertical="center" wrapText="1"/>
    </xf>
    <xf numFmtId="0" fontId="62" fillId="0" borderId="0" xfId="0" applyFont="1" applyAlignment="1">
      <alignment horizontal="center" vertical="center" wrapText="1"/>
    </xf>
    <xf numFmtId="189" fontId="35" fillId="5" borderId="0" xfId="124" applyNumberFormat="1" applyFont="1" applyFill="1" applyBorder="1" applyAlignment="1" applyProtection="1">
      <alignment horizontal="center" wrapText="1"/>
    </xf>
    <xf numFmtId="189" fontId="43" fillId="5" borderId="0" xfId="0" applyNumberFormat="1" applyFont="1" applyFill="1" applyBorder="1" applyAlignment="1" applyProtection="1">
      <alignment horizontal="center" wrapText="1"/>
    </xf>
    <xf numFmtId="188" fontId="35" fillId="5" borderId="0" xfId="124" applyNumberFormat="1" applyFont="1" applyFill="1" applyBorder="1" applyAlignment="1" applyProtection="1">
      <alignment horizontal="center" wrapText="1"/>
    </xf>
    <xf numFmtId="188" fontId="43" fillId="5" borderId="0" xfId="0" applyNumberFormat="1" applyFont="1" applyFill="1" applyBorder="1" applyAlignment="1" applyProtection="1">
      <alignment horizontal="center" wrapText="1"/>
    </xf>
    <xf numFmtId="0" fontId="75" fillId="18" borderId="4" xfId="124" applyFont="1" applyFill="1" applyBorder="1" applyAlignment="1">
      <alignment horizontal="center" vertical="center" wrapText="1"/>
    </xf>
    <xf numFmtId="0" fontId="75" fillId="18" borderId="5" xfId="124" applyFont="1" applyFill="1" applyBorder="1" applyAlignment="1">
      <alignment horizontal="center" vertical="center" wrapText="1"/>
    </xf>
    <xf numFmtId="0" fontId="141" fillId="0" borderId="5" xfId="0" applyFont="1" applyFill="1" applyBorder="1" applyAlignment="1">
      <alignment horizontal="center" vertical="center" wrapText="1"/>
    </xf>
    <xf numFmtId="0" fontId="61" fillId="2" borderId="73" xfId="0" applyFont="1" applyFill="1" applyBorder="1" applyAlignment="1">
      <alignment horizontal="center" vertical="center" wrapText="1"/>
    </xf>
    <xf numFmtId="0" fontId="61" fillId="2" borderId="74" xfId="0" applyFont="1" applyFill="1" applyBorder="1" applyAlignment="1">
      <alignment horizontal="center" vertical="center" wrapText="1"/>
    </xf>
    <xf numFmtId="0" fontId="61" fillId="2" borderId="75" xfId="0" applyFont="1" applyFill="1" applyBorder="1" applyAlignment="1">
      <alignment horizontal="center" vertical="center" wrapText="1"/>
    </xf>
    <xf numFmtId="0" fontId="61" fillId="20" borderId="73" xfId="0" applyFont="1" applyFill="1" applyBorder="1" applyAlignment="1">
      <alignment horizontal="center" vertical="center" wrapText="1"/>
    </xf>
    <xf numFmtId="0" fontId="61" fillId="20" borderId="74" xfId="0" applyFont="1" applyFill="1" applyBorder="1" applyAlignment="1">
      <alignment horizontal="center" vertical="center" wrapText="1"/>
    </xf>
    <xf numFmtId="0" fontId="61" fillId="20" borderId="75" xfId="0" applyFont="1" applyFill="1" applyBorder="1" applyAlignment="1">
      <alignment horizontal="center" vertical="center" wrapText="1"/>
    </xf>
    <xf numFmtId="0" fontId="61" fillId="18" borderId="72" xfId="0" applyFont="1" applyFill="1" applyBorder="1" applyAlignment="1">
      <alignment horizontal="center" vertical="center" wrapText="1"/>
    </xf>
    <xf numFmtId="0" fontId="77" fillId="21" borderId="73" xfId="0" applyFont="1" applyFill="1" applyBorder="1" applyAlignment="1">
      <alignment horizontal="center" vertical="center" wrapText="1"/>
    </xf>
    <xf numFmtId="0" fontId="77" fillId="21" borderId="74" xfId="0" applyFont="1" applyFill="1" applyBorder="1" applyAlignment="1">
      <alignment horizontal="center" vertical="center" wrapText="1"/>
    </xf>
    <xf numFmtId="0" fontId="77" fillId="21" borderId="75" xfId="0" applyFont="1" applyFill="1" applyBorder="1" applyAlignment="1">
      <alignment horizontal="center" vertical="center" wrapText="1"/>
    </xf>
    <xf numFmtId="0" fontId="64" fillId="7" borderId="5" xfId="0" applyFont="1" applyFill="1" applyBorder="1" applyAlignment="1">
      <alignment horizontal="center" vertical="center" wrapText="1"/>
    </xf>
    <xf numFmtId="0" fontId="59" fillId="7" borderId="51" xfId="0" applyFont="1" applyFill="1" applyBorder="1" applyAlignment="1">
      <alignment horizontal="center" vertical="center" wrapText="1"/>
    </xf>
    <xf numFmtId="0" fontId="59" fillId="7" borderId="5" xfId="0" applyFont="1" applyFill="1" applyBorder="1" applyAlignment="1">
      <alignment horizontal="center" vertical="center" wrapText="1"/>
    </xf>
    <xf numFmtId="0" fontId="128"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110" xfId="0" applyBorder="1" applyAlignment="1">
      <alignment horizontal="center" vertical="center" wrapText="1"/>
    </xf>
    <xf numFmtId="0" fontId="128" fillId="0" borderId="51" xfId="0" applyFont="1" applyBorder="1" applyAlignment="1">
      <alignment horizontal="center" vertical="center" wrapText="1"/>
    </xf>
    <xf numFmtId="0" fontId="128" fillId="0" borderId="110" xfId="0" applyFont="1" applyBorder="1" applyAlignment="1">
      <alignment horizontal="center" vertical="center" wrapText="1"/>
    </xf>
    <xf numFmtId="9" fontId="60" fillId="0" borderId="0" xfId="8" applyNumberFormat="1" applyFont="1" applyAlignment="1">
      <alignment horizontal="center" vertical="center" wrapText="1"/>
    </xf>
    <xf numFmtId="9" fontId="0" fillId="0" borderId="0" xfId="0" applyNumberFormat="1" applyAlignment="1">
      <alignment horizontal="center" vertical="center" wrapText="1"/>
    </xf>
    <xf numFmtId="9" fontId="0" fillId="0" borderId="108" xfId="0" applyNumberFormat="1" applyBorder="1" applyAlignment="1">
      <alignment horizontal="center" vertical="center" wrapText="1"/>
    </xf>
    <xf numFmtId="9" fontId="60" fillId="0" borderId="109" xfId="8" applyNumberFormat="1" applyFont="1" applyBorder="1" applyAlignment="1">
      <alignment horizontal="center" vertical="center" wrapText="1"/>
    </xf>
    <xf numFmtId="0" fontId="7" fillId="0" borderId="50" xfId="8" applyFont="1" applyBorder="1" applyAlignment="1">
      <alignment horizontal="center" vertical="center" wrapText="1"/>
    </xf>
    <xf numFmtId="0" fontId="126" fillId="0" borderId="51" xfId="9" applyFont="1" applyBorder="1" applyAlignment="1">
      <alignment horizontal="center" vertical="center" wrapText="1"/>
    </xf>
    <xf numFmtId="0" fontId="126" fillId="0" borderId="110" xfId="9" applyFont="1" applyBorder="1" applyAlignment="1">
      <alignment horizontal="center" vertical="center" wrapText="1"/>
    </xf>
    <xf numFmtId="0" fontId="127" fillId="0" borderId="51" xfId="9" applyFont="1" applyBorder="1" applyAlignment="1">
      <alignment horizontal="center" vertical="center" wrapText="1"/>
    </xf>
    <xf numFmtId="0" fontId="127" fillId="0" borderId="110" xfId="9" applyFont="1" applyBorder="1" applyAlignment="1">
      <alignment horizontal="center" vertical="center" wrapText="1"/>
    </xf>
    <xf numFmtId="0" fontId="5" fillId="0" borderId="0" xfId="8" applyAlignment="1">
      <alignment wrapText="1"/>
    </xf>
    <xf numFmtId="0" fontId="21" fillId="0" borderId="0" xfId="9" applyAlignment="1">
      <alignment wrapText="1"/>
    </xf>
    <xf numFmtId="0" fontId="21" fillId="0" borderId="112" xfId="9" applyBorder="1" applyAlignment="1">
      <alignment wrapText="1"/>
    </xf>
    <xf numFmtId="188" fontId="62" fillId="0" borderId="13" xfId="8" applyNumberFormat="1" applyFont="1" applyBorder="1" applyAlignment="1">
      <alignment horizontal="center" wrapText="1"/>
    </xf>
    <xf numFmtId="0" fontId="0" fillId="0" borderId="28" xfId="0" applyBorder="1" applyAlignment="1">
      <alignment horizontal="center" wrapText="1"/>
    </xf>
    <xf numFmtId="0" fontId="86" fillId="6" borderId="1" xfId="124" applyFont="1" applyFill="1" applyBorder="1" applyAlignment="1">
      <alignment horizontal="center" vertical="center" wrapText="1"/>
    </xf>
    <xf numFmtId="0" fontId="87" fillId="6" borderId="4" xfId="124" applyFont="1" applyFill="1" applyBorder="1" applyAlignment="1">
      <alignment horizontal="center" vertical="center" wrapText="1"/>
    </xf>
    <xf numFmtId="0" fontId="87" fillId="6" borderId="6" xfId="124" applyFont="1" applyFill="1" applyBorder="1" applyAlignment="1">
      <alignment horizontal="center" vertical="center" wrapText="1"/>
    </xf>
    <xf numFmtId="0" fontId="86" fillId="6" borderId="3" xfId="124" applyFont="1" applyFill="1" applyBorder="1" applyAlignment="1">
      <alignment horizontal="center" vertical="center" wrapText="1"/>
    </xf>
    <xf numFmtId="0" fontId="87" fillId="6" borderId="5" xfId="124" applyFont="1" applyFill="1" applyBorder="1" applyAlignment="1">
      <alignment horizontal="center" vertical="center" wrapText="1"/>
    </xf>
    <xf numFmtId="0" fontId="87" fillId="6" borderId="8" xfId="124" applyFont="1" applyFill="1" applyBorder="1" applyAlignment="1">
      <alignment horizontal="center" vertical="center" wrapText="1"/>
    </xf>
    <xf numFmtId="177" fontId="49" fillId="22" borderId="6" xfId="8" applyNumberFormat="1" applyFont="1" applyFill="1" applyBorder="1" applyAlignment="1">
      <alignment horizontal="center" wrapText="1"/>
    </xf>
    <xf numFmtId="0" fontId="49" fillId="0" borderId="8" xfId="8" applyFont="1" applyBorder="1" applyAlignment="1">
      <alignment horizontal="center" wrapText="1"/>
    </xf>
    <xf numFmtId="0" fontId="31" fillId="26" borderId="1" xfId="8" applyFont="1" applyFill="1" applyBorder="1" applyAlignment="1">
      <alignment horizontal="left" wrapText="1"/>
    </xf>
    <xf numFmtId="0" fontId="31" fillId="26" borderId="3" xfId="0" applyFont="1" applyFill="1" applyBorder="1" applyAlignment="1">
      <alignment horizontal="left" wrapText="1"/>
    </xf>
    <xf numFmtId="0" fontId="31" fillId="26" borderId="6" xfId="8" applyFont="1" applyFill="1" applyBorder="1" applyAlignment="1">
      <alignment horizontal="left" vertical="center" wrapText="1"/>
    </xf>
    <xf numFmtId="0" fontId="49" fillId="26" borderId="8" xfId="0" applyFont="1" applyFill="1" applyBorder="1" applyAlignment="1">
      <alignment horizontal="left" vertical="center" wrapText="1"/>
    </xf>
    <xf numFmtId="0" fontId="83" fillId="14" borderId="1" xfId="8" applyFont="1" applyFill="1" applyBorder="1"/>
    <xf numFmtId="0" fontId="84" fillId="14" borderId="3" xfId="8" applyFont="1" applyFill="1" applyBorder="1"/>
    <xf numFmtId="0" fontId="83" fillId="14" borderId="4" xfId="8" applyFont="1" applyFill="1" applyBorder="1"/>
    <xf numFmtId="0" fontId="83" fillId="14" borderId="5" xfId="8" applyFont="1" applyFill="1" applyBorder="1"/>
    <xf numFmtId="0" fontId="83" fillId="14" borderId="6" xfId="8" applyFont="1" applyFill="1" applyBorder="1"/>
    <xf numFmtId="0" fontId="83" fillId="14" borderId="8" xfId="8" applyFont="1" applyFill="1" applyBorder="1"/>
    <xf numFmtId="49" fontId="49" fillId="22" borderId="1" xfId="8" applyNumberFormat="1" applyFont="1" applyFill="1" applyBorder="1" applyAlignment="1">
      <alignment horizontal="center" wrapText="1"/>
    </xf>
    <xf numFmtId="0" fontId="49" fillId="0" borderId="3" xfId="8" applyFont="1" applyBorder="1" applyAlignment="1">
      <alignment horizontal="center" wrapText="1"/>
    </xf>
    <xf numFmtId="1" fontId="49" fillId="22" borderId="4" xfId="8" applyNumberFormat="1" applyFont="1" applyFill="1" applyBorder="1" applyAlignment="1">
      <alignment horizontal="center" wrapText="1"/>
    </xf>
    <xf numFmtId="1" fontId="49" fillId="0" borderId="5" xfId="8" applyNumberFormat="1" applyFont="1" applyBorder="1" applyAlignment="1">
      <alignment horizontal="center" wrapText="1"/>
    </xf>
    <xf numFmtId="0" fontId="49" fillId="22" borderId="4" xfId="8" applyFont="1" applyFill="1" applyBorder="1" applyAlignment="1">
      <alignment horizontal="center" wrapText="1"/>
    </xf>
    <xf numFmtId="0" fontId="49" fillId="0" borderId="5" xfId="8" applyFont="1" applyBorder="1" applyAlignment="1">
      <alignment horizontal="center" wrapText="1"/>
    </xf>
    <xf numFmtId="0" fontId="55" fillId="17" borderId="6" xfId="8" applyFont="1" applyFill="1" applyBorder="1" applyAlignment="1">
      <alignment wrapText="1"/>
    </xf>
    <xf numFmtId="0" fontId="0" fillId="0" borderId="8" xfId="0" applyBorder="1" applyAlignment="1">
      <alignment wrapText="1"/>
    </xf>
    <xf numFmtId="0" fontId="31" fillId="6" borderId="13" xfId="8" applyFont="1" applyFill="1" applyBorder="1" applyAlignment="1">
      <alignment wrapText="1"/>
    </xf>
    <xf numFmtId="0" fontId="32" fillId="0" borderId="28" xfId="0" applyFont="1" applyBorder="1" applyAlignment="1">
      <alignment wrapText="1"/>
    </xf>
    <xf numFmtId="177" fontId="49" fillId="14" borderId="6" xfId="8" applyNumberFormat="1" applyFont="1" applyFill="1" applyBorder="1" applyAlignment="1">
      <alignment horizontal="center" wrapText="1"/>
    </xf>
    <xf numFmtId="0" fontId="49" fillId="0" borderId="8" xfId="8" applyFont="1" applyBorder="1" applyAlignment="1">
      <alignment wrapText="1"/>
    </xf>
    <xf numFmtId="0" fontId="49" fillId="11" borderId="4" xfId="8" applyFont="1" applyFill="1" applyBorder="1" applyAlignment="1">
      <alignment horizontal="right" wrapText="1"/>
    </xf>
    <xf numFmtId="0" fontId="49" fillId="11" borderId="0" xfId="8" applyFont="1" applyFill="1" applyAlignment="1">
      <alignment horizontal="right" wrapText="1"/>
    </xf>
    <xf numFmtId="0" fontId="64" fillId="14" borderId="1" xfId="8" applyFont="1" applyFill="1" applyBorder="1"/>
    <xf numFmtId="0" fontId="65" fillId="14" borderId="3" xfId="8" applyFont="1" applyFill="1" applyBorder="1"/>
    <xf numFmtId="0" fontId="64" fillId="14" borderId="4" xfId="8" applyFont="1" applyFill="1" applyBorder="1"/>
    <xf numFmtId="0" fontId="65" fillId="14" borderId="5" xfId="8" applyFont="1" applyFill="1" applyBorder="1"/>
    <xf numFmtId="0" fontId="64" fillId="14" borderId="6" xfId="8" applyFont="1" applyFill="1" applyBorder="1"/>
    <xf numFmtId="0" fontId="65" fillId="14" borderId="8" xfId="8" applyFont="1" applyFill="1" applyBorder="1"/>
    <xf numFmtId="49" fontId="49" fillId="14" borderId="1" xfId="8" applyNumberFormat="1" applyFont="1" applyFill="1" applyBorder="1" applyAlignment="1">
      <alignment horizontal="center" wrapText="1"/>
    </xf>
    <xf numFmtId="1" fontId="49" fillId="14" borderId="4" xfId="8" applyNumberFormat="1" applyFont="1" applyFill="1" applyBorder="1" applyAlignment="1">
      <alignment horizontal="center" wrapText="1"/>
    </xf>
    <xf numFmtId="0" fontId="49" fillId="14" borderId="4" xfId="8" applyFont="1" applyFill="1" applyBorder="1" applyAlignment="1">
      <alignment horizontal="center" wrapText="1"/>
    </xf>
    <xf numFmtId="177" fontId="49" fillId="0" borderId="8" xfId="0" applyNumberFormat="1" applyFont="1" applyBorder="1" applyAlignment="1">
      <alignment horizontal="center" wrapText="1"/>
    </xf>
    <xf numFmtId="0" fontId="9" fillId="14" borderId="1" xfId="8" applyFont="1" applyFill="1" applyBorder="1"/>
    <xf numFmtId="0" fontId="5" fillId="14" borderId="3" xfId="8" applyFill="1" applyBorder="1"/>
    <xf numFmtId="0" fontId="9" fillId="14" borderId="4" xfId="8" applyFont="1" applyFill="1" applyBorder="1"/>
    <xf numFmtId="0" fontId="5" fillId="14" borderId="5" xfId="8" applyFill="1" applyBorder="1"/>
    <xf numFmtId="0" fontId="9" fillId="14" borderId="6" xfId="8" applyFont="1" applyFill="1" applyBorder="1"/>
    <xf numFmtId="0" fontId="5" fillId="14" borderId="8" xfId="8" applyFill="1" applyBorder="1"/>
    <xf numFmtId="0" fontId="49" fillId="0" borderId="3" xfId="0" applyFont="1" applyBorder="1" applyAlignment="1">
      <alignment horizontal="center" wrapText="1"/>
    </xf>
    <xf numFmtId="0" fontId="49" fillId="0" borderId="5" xfId="0" applyFont="1" applyBorder="1" applyAlignment="1">
      <alignment horizontal="center" wrapText="1"/>
    </xf>
    <xf numFmtId="3" fontId="49" fillId="22" borderId="4" xfId="8" applyNumberFormat="1" applyFont="1" applyFill="1" applyBorder="1" applyAlignment="1">
      <alignment horizontal="center" wrapText="1"/>
    </xf>
    <xf numFmtId="177" fontId="5" fillId="22" borderId="6" xfId="8" applyNumberFormat="1" applyFill="1" applyBorder="1" applyAlignment="1">
      <alignment horizontal="center" wrapText="1"/>
    </xf>
    <xf numFmtId="177" fontId="0" fillId="0" borderId="8" xfId="0" applyNumberFormat="1" applyBorder="1" applyAlignment="1">
      <alignment horizontal="center" wrapText="1"/>
    </xf>
    <xf numFmtId="49" fontId="5" fillId="22" borderId="1" xfId="8" applyNumberFormat="1" applyFill="1" applyBorder="1" applyAlignment="1">
      <alignment horizontal="center" wrapText="1"/>
    </xf>
    <xf numFmtId="0" fontId="0" fillId="0" borderId="3" xfId="0" applyBorder="1" applyAlignment="1">
      <alignment horizontal="center" wrapText="1"/>
    </xf>
    <xf numFmtId="3" fontId="5" fillId="22" borderId="4" xfId="8" applyNumberFormat="1" applyFill="1" applyBorder="1" applyAlignment="1">
      <alignment horizontal="center" wrapText="1"/>
    </xf>
    <xf numFmtId="0" fontId="0" fillId="0" borderId="5" xfId="0" applyBorder="1" applyAlignment="1">
      <alignment horizontal="center" wrapText="1"/>
    </xf>
    <xf numFmtId="0" fontId="5" fillId="22" borderId="4" xfId="8" applyFill="1" applyBorder="1" applyAlignment="1">
      <alignment horizontal="center" wrapText="1"/>
    </xf>
    <xf numFmtId="0" fontId="49" fillId="22" borderId="6" xfId="8" applyFont="1" applyFill="1" applyBorder="1" applyAlignment="1">
      <alignment horizontal="center" wrapText="1"/>
    </xf>
    <xf numFmtId="0" fontId="49" fillId="0" borderId="8" xfId="0" applyFont="1" applyBorder="1" applyAlignment="1">
      <alignment horizontal="center" wrapText="1"/>
    </xf>
    <xf numFmtId="0" fontId="49" fillId="0" borderId="3" xfId="0" applyNumberFormat="1" applyFont="1" applyBorder="1" applyAlignment="1">
      <alignment horizontal="center" wrapText="1"/>
    </xf>
    <xf numFmtId="0" fontId="54" fillId="6" borderId="0" xfId="8" applyFont="1" applyFill="1" applyAlignment="1">
      <alignment horizontal="center" vertical="center" wrapText="1"/>
    </xf>
    <xf numFmtId="0" fontId="54" fillId="6" borderId="7" xfId="8" applyFont="1" applyFill="1" applyBorder="1" applyAlignment="1">
      <alignment horizontal="center" vertical="center" wrapText="1"/>
    </xf>
    <xf numFmtId="0" fontId="70" fillId="6" borderId="1" xfId="8" applyFont="1" applyFill="1" applyBorder="1" applyAlignment="1">
      <alignment horizontal="center" vertical="center" wrapText="1"/>
    </xf>
    <xf numFmtId="0" fontId="70" fillId="6" borderId="3" xfId="0" applyFont="1" applyFill="1" applyBorder="1" applyAlignment="1">
      <alignment horizontal="center" vertical="center" wrapText="1"/>
    </xf>
    <xf numFmtId="0" fontId="70" fillId="6" borderId="4" xfId="0" applyFont="1" applyFill="1" applyBorder="1" applyAlignment="1">
      <alignment horizontal="center" vertical="center" wrapText="1"/>
    </xf>
    <xf numFmtId="0" fontId="70" fillId="6" borderId="5" xfId="0" applyFont="1" applyFill="1" applyBorder="1" applyAlignment="1">
      <alignment horizontal="center" vertical="center" wrapText="1"/>
    </xf>
    <xf numFmtId="0" fontId="70" fillId="6" borderId="6" xfId="0" applyFont="1" applyFill="1" applyBorder="1" applyAlignment="1">
      <alignment horizontal="center" vertical="center" wrapText="1"/>
    </xf>
    <xf numFmtId="0" fontId="70" fillId="6" borderId="8" xfId="0" applyFont="1" applyFill="1" applyBorder="1" applyAlignment="1">
      <alignment horizontal="center" vertical="center" wrapText="1"/>
    </xf>
    <xf numFmtId="0" fontId="14" fillId="14" borderId="51" xfId="0" applyFont="1" applyFill="1" applyBorder="1" applyAlignment="1" applyProtection="1">
      <alignment horizontal="center" vertical="center" wrapText="1"/>
      <protection locked="0"/>
    </xf>
    <xf numFmtId="0" fontId="17" fillId="0" borderId="52" xfId="0" applyFont="1" applyBorder="1" applyAlignment="1" applyProtection="1">
      <alignment horizontal="center" vertical="center" wrapText="1"/>
      <protection locked="0"/>
    </xf>
    <xf numFmtId="0" fontId="59" fillId="0" borderId="0" xfId="8" applyFont="1" applyAlignment="1">
      <alignment horizontal="center" vertical="center" wrapText="1"/>
    </xf>
    <xf numFmtId="0" fontId="59" fillId="0" borderId="0" xfId="0" applyFont="1" applyAlignment="1">
      <alignment horizontal="center" vertical="center" wrapText="1"/>
    </xf>
    <xf numFmtId="0" fontId="7" fillId="0" borderId="0" xfId="8" applyFont="1" applyAlignment="1">
      <alignment horizontal="right"/>
    </xf>
    <xf numFmtId="0" fontId="7" fillId="0" borderId="107" xfId="8" applyFont="1" applyBorder="1" applyAlignment="1">
      <alignment horizontal="right"/>
    </xf>
    <xf numFmtId="0" fontId="115" fillId="29" borderId="27" xfId="8" applyFont="1" applyFill="1" applyBorder="1" applyAlignment="1">
      <alignment horizontal="right"/>
    </xf>
    <xf numFmtId="0" fontId="119" fillId="29" borderId="27" xfId="8" applyFont="1" applyFill="1" applyBorder="1" applyAlignment="1">
      <alignment horizontal="right"/>
    </xf>
    <xf numFmtId="0" fontId="67" fillId="6" borderId="13" xfId="8" applyFont="1" applyFill="1" applyBorder="1" applyAlignment="1">
      <alignment wrapText="1"/>
    </xf>
    <xf numFmtId="0" fontId="67" fillId="0" borderId="27" xfId="8" applyFont="1" applyBorder="1" applyAlignment="1">
      <alignment wrapText="1"/>
    </xf>
    <xf numFmtId="0" fontId="67" fillId="0" borderId="28" xfId="8" applyFont="1" applyBorder="1" applyAlignment="1">
      <alignment wrapText="1"/>
    </xf>
    <xf numFmtId="0" fontId="115" fillId="29" borderId="13" xfId="8" applyFont="1" applyFill="1" applyBorder="1" applyAlignment="1">
      <alignment horizontal="center" vertical="center" wrapText="1"/>
    </xf>
    <xf numFmtId="0" fontId="60" fillId="29" borderId="27" xfId="8" applyFont="1" applyFill="1" applyBorder="1" applyAlignment="1">
      <alignment horizontal="center" vertical="center" wrapText="1"/>
    </xf>
    <xf numFmtId="0" fontId="67" fillId="6" borderId="13" xfId="8" applyFont="1" applyFill="1" applyBorder="1" applyAlignment="1">
      <alignment vertical="center" wrapText="1"/>
    </xf>
    <xf numFmtId="0" fontId="60" fillId="0" borderId="27" xfId="8" applyFont="1" applyBorder="1" applyAlignment="1">
      <alignment wrapText="1"/>
    </xf>
    <xf numFmtId="0" fontId="60" fillId="0" borderId="28" xfId="8" applyFont="1" applyBorder="1" applyAlignment="1">
      <alignment wrapText="1"/>
    </xf>
    <xf numFmtId="0" fontId="7" fillId="0" borderId="63" xfId="8" applyFont="1" applyBorder="1" applyAlignment="1">
      <alignment horizontal="right"/>
    </xf>
    <xf numFmtId="0" fontId="67" fillId="4" borderId="0" xfId="8" applyFont="1" applyFill="1" applyAlignment="1">
      <alignment vertical="center" wrapText="1"/>
    </xf>
    <xf numFmtId="0" fontId="60" fillId="0" borderId="0" xfId="8" applyFont="1" applyAlignment="1">
      <alignment wrapText="1"/>
    </xf>
    <xf numFmtId="0" fontId="60" fillId="0" borderId="5" xfId="8" applyFont="1" applyBorder="1" applyAlignment="1">
      <alignment wrapText="1"/>
    </xf>
    <xf numFmtId="0" fontId="60" fillId="0" borderId="27" xfId="8" applyFont="1" applyBorder="1" applyAlignment="1">
      <alignment vertical="center" wrapText="1"/>
    </xf>
    <xf numFmtId="0" fontId="60" fillId="0" borderId="28" xfId="8" applyFont="1" applyBorder="1" applyAlignment="1">
      <alignment vertical="center" wrapText="1"/>
    </xf>
    <xf numFmtId="0" fontId="60" fillId="0" borderId="0" xfId="8" applyFont="1"/>
    <xf numFmtId="0" fontId="116" fillId="0" borderId="27" xfId="8" applyFont="1" applyBorder="1" applyAlignment="1">
      <alignment vertical="center" wrapText="1"/>
    </xf>
    <xf numFmtId="0" fontId="116" fillId="0" borderId="28" xfId="8" applyFont="1" applyBorder="1" applyAlignment="1">
      <alignment vertical="center" wrapText="1"/>
    </xf>
    <xf numFmtId="0" fontId="67" fillId="6" borderId="13" xfId="8" applyFont="1" applyFill="1" applyBorder="1" applyAlignment="1">
      <alignment horizontal="left" vertical="center" wrapText="1"/>
    </xf>
    <xf numFmtId="0" fontId="101" fillId="0" borderId="27" xfId="129" applyFont="1" applyBorder="1" applyAlignment="1">
      <alignment horizontal="left" vertical="center" wrapText="1"/>
    </xf>
    <xf numFmtId="0" fontId="101" fillId="0" borderId="28" xfId="129" applyFont="1" applyBorder="1" applyAlignment="1">
      <alignment horizontal="left" vertical="center" wrapText="1"/>
    </xf>
    <xf numFmtId="0" fontId="7" fillId="0" borderId="27" xfId="8" applyFont="1" applyBorder="1" applyAlignment="1">
      <alignment wrapText="1"/>
    </xf>
    <xf numFmtId="0" fontId="7" fillId="0" borderId="28" xfId="8" applyFont="1" applyBorder="1" applyAlignment="1">
      <alignment wrapText="1"/>
    </xf>
    <xf numFmtId="166" fontId="104" fillId="31" borderId="50" xfId="8" applyNumberFormat="1" applyFont="1" applyFill="1" applyBorder="1" applyAlignment="1" applyProtection="1">
      <alignment vertical="center" wrapText="1"/>
      <protection locked="0"/>
    </xf>
    <xf numFmtId="166" fontId="104" fillId="31" borderId="52" xfId="8" applyNumberFormat="1" applyFont="1" applyFill="1" applyBorder="1" applyAlignment="1" applyProtection="1">
      <alignment vertical="center" wrapText="1"/>
      <protection locked="0"/>
    </xf>
    <xf numFmtId="166" fontId="9" fillId="31" borderId="50" xfId="8" applyNumberFormat="1" applyFont="1" applyFill="1" applyBorder="1" applyAlignment="1">
      <alignment horizontal="center" vertical="center" wrapText="1"/>
    </xf>
    <xf numFmtId="0" fontId="100" fillId="0" borderId="52" xfId="129" applyBorder="1" applyAlignment="1">
      <alignment horizontal="center" vertical="center" wrapText="1"/>
    </xf>
    <xf numFmtId="0" fontId="9" fillId="31" borderId="50" xfId="8" applyFont="1" applyFill="1" applyBorder="1" applyAlignment="1">
      <alignment vertical="center" wrapText="1"/>
    </xf>
    <xf numFmtId="0" fontId="9" fillId="31" borderId="52" xfId="8" applyFont="1" applyFill="1" applyBorder="1" applyAlignment="1">
      <alignment vertical="center" wrapText="1"/>
    </xf>
    <xf numFmtId="0" fontId="9" fillId="33" borderId="0" xfId="8" applyFont="1" applyFill="1" applyAlignment="1">
      <alignment horizontal="center"/>
    </xf>
    <xf numFmtId="0" fontId="5" fillId="0" borderId="0" xfId="8" applyAlignment="1">
      <alignment horizontal="center"/>
    </xf>
    <xf numFmtId="167" fontId="9" fillId="14" borderId="1" xfId="8" applyNumberFormat="1" applyFont="1" applyFill="1" applyBorder="1"/>
    <xf numFmtId="0" fontId="9" fillId="14" borderId="2" xfId="8" applyFont="1" applyFill="1" applyBorder="1"/>
    <xf numFmtId="0" fontId="9" fillId="14" borderId="3" xfId="8" applyFont="1" applyFill="1" applyBorder="1"/>
    <xf numFmtId="0" fontId="43" fillId="14" borderId="0" xfId="8" applyFont="1" applyFill="1"/>
    <xf numFmtId="0" fontId="43" fillId="14" borderId="5" xfId="8" applyFont="1" applyFill="1" applyBorder="1"/>
    <xf numFmtId="0" fontId="7" fillId="14" borderId="6" xfId="8" applyFont="1" applyFill="1" applyBorder="1"/>
    <xf numFmtId="0" fontId="5" fillId="14" borderId="7" xfId="8" applyFill="1" applyBorder="1"/>
    <xf numFmtId="0" fontId="5" fillId="31" borderId="52" xfId="8" applyFill="1" applyBorder="1" applyAlignment="1">
      <alignment vertical="center" wrapText="1"/>
    </xf>
    <xf numFmtId="0" fontId="9" fillId="31" borderId="50" xfId="8" applyFont="1" applyFill="1" applyBorder="1" applyAlignment="1">
      <alignment horizontal="center" vertical="center" wrapText="1"/>
    </xf>
    <xf numFmtId="0" fontId="9" fillId="31" borderId="52" xfId="8" applyFont="1" applyFill="1" applyBorder="1" applyAlignment="1">
      <alignment horizontal="center" vertical="center" wrapText="1"/>
    </xf>
    <xf numFmtId="39" fontId="49" fillId="0" borderId="13" xfId="0" applyNumberFormat="1" applyFont="1" applyBorder="1" applyAlignment="1" applyProtection="1">
      <alignment horizontal="center" vertical="center" wrapText="1"/>
      <protection locked="0"/>
    </xf>
    <xf numFmtId="39" fontId="49" fillId="0" borderId="27" xfId="0" applyNumberFormat="1" applyFont="1" applyBorder="1" applyAlignment="1" applyProtection="1">
      <alignment horizontal="center" vertical="center" wrapText="1"/>
      <protection locked="0"/>
    </xf>
    <xf numFmtId="39" fontId="49" fillId="0" borderId="28" xfId="0" applyNumberFormat="1" applyFont="1" applyBorder="1" applyAlignment="1" applyProtection="1">
      <alignment horizontal="center" vertical="center" wrapText="1"/>
      <protection locked="0"/>
    </xf>
    <xf numFmtId="0" fontId="14" fillId="14" borderId="51" xfId="0" applyFont="1" applyFill="1" applyBorder="1" applyAlignment="1">
      <alignment horizontal="center" vertical="center" wrapText="1"/>
    </xf>
    <xf numFmtId="0" fontId="17" fillId="0" borderId="52" xfId="0" applyFont="1" applyBorder="1" applyAlignment="1">
      <alignment horizontal="center" vertical="center" wrapText="1"/>
    </xf>
    <xf numFmtId="0" fontId="97" fillId="6" borderId="13" xfId="0" applyFont="1" applyFill="1" applyBorder="1" applyAlignment="1">
      <alignment wrapText="1"/>
    </xf>
    <xf numFmtId="0" fontId="0" fillId="0" borderId="27" xfId="0" applyBorder="1" applyAlignment="1">
      <alignment wrapText="1"/>
    </xf>
    <xf numFmtId="0" fontId="0" fillId="0" borderId="28" xfId="0" applyBorder="1" applyAlignment="1">
      <alignment wrapText="1"/>
    </xf>
    <xf numFmtId="10" fontId="49" fillId="0" borderId="13" xfId="0" applyNumberFormat="1" applyFont="1" applyBorder="1" applyAlignment="1" applyProtection="1">
      <alignment horizontal="center" vertical="center" wrapText="1"/>
      <protection locked="0"/>
    </xf>
    <xf numFmtId="10" fontId="49" fillId="0" borderId="27" xfId="0" applyNumberFormat="1" applyFont="1" applyBorder="1" applyAlignment="1" applyProtection="1">
      <alignment horizontal="center" vertical="center" wrapText="1"/>
      <protection locked="0"/>
    </xf>
    <xf numFmtId="10" fontId="49" fillId="0" borderId="28" xfId="0" applyNumberFormat="1" applyFont="1" applyBorder="1" applyAlignment="1" applyProtection="1">
      <alignment horizontal="center" vertical="center" wrapText="1"/>
      <protection locked="0"/>
    </xf>
    <xf numFmtId="165" fontId="49" fillId="0" borderId="13" xfId="0" applyNumberFormat="1" applyFont="1" applyBorder="1" applyAlignment="1" applyProtection="1">
      <alignment horizontal="center" vertical="center" wrapText="1"/>
      <protection locked="0"/>
    </xf>
    <xf numFmtId="165" fontId="49" fillId="0" borderId="27" xfId="0" applyNumberFormat="1" applyFont="1" applyBorder="1" applyAlignment="1" applyProtection="1">
      <alignment horizontal="center" vertical="center" wrapText="1"/>
      <protection locked="0"/>
    </xf>
    <xf numFmtId="165" fontId="49" fillId="0" borderId="28" xfId="0" applyNumberFormat="1" applyFont="1" applyBorder="1" applyAlignment="1" applyProtection="1">
      <alignment horizontal="center" vertical="center" wrapText="1"/>
      <protection locked="0"/>
    </xf>
  </cellXfs>
  <cellStyles count="131">
    <cellStyle name="48_description" xfId="1" xr:uid="{00000000-0005-0000-0000-000000000000}"/>
    <cellStyle name="Commentaire" xfId="2" xr:uid="{00000000-0005-0000-0000-000001000000}"/>
    <cellStyle name="Euro" xfId="3" xr:uid="{00000000-0005-0000-0000-000002000000}"/>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xfId="92" builtinId="8" hidden="1"/>
    <cellStyle name="Lien hypertexte" xfId="94" builtinId="8" hidden="1"/>
    <cellStyle name="Lien hypertexte" xfId="96" builtinId="8" hidden="1"/>
    <cellStyle name="Lien hypertexte" xfId="98" builtinId="8" hidden="1"/>
    <cellStyle name="Lien hypertexte" xfId="100" builtinId="8" hidden="1"/>
    <cellStyle name="Lien hypertexte" xfId="102" builtinId="8" hidden="1"/>
    <cellStyle name="Lien hypertexte" xfId="104" builtinId="8" hidden="1"/>
    <cellStyle name="Lien hypertexte" xfId="106" builtinId="8" hidden="1"/>
    <cellStyle name="Lien hypertexte" xfId="108" builtinId="8" hidden="1"/>
    <cellStyle name="Lien hypertexte" xfId="110" builtinId="8" hidden="1"/>
    <cellStyle name="Lien hypertexte" xfId="112" builtinId="8" hidden="1"/>
    <cellStyle name="Lien hypertexte" xfId="114" builtinId="8" hidden="1"/>
    <cellStyle name="Lien hypertexte" xfId="116" builtinId="8" hidden="1"/>
    <cellStyle name="Lien hypertexte" xfId="118" builtinId="8" hidden="1"/>
    <cellStyle name="Lien hypertexte" xfId="120" builtinId="8" hidden="1"/>
    <cellStyle name="Lien hypertexte" xfId="122" builtinId="8" hidden="1"/>
    <cellStyle name="Lien hypertexte" xfId="128" builtinId="8"/>
    <cellStyle name="Lien hypertexte 2" xfId="4" xr:uid="{00000000-0005-0000-0000-000037000000}"/>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Lien hypertexte visité" xfId="93" builtinId="9" hidden="1"/>
    <cellStyle name="Lien hypertexte visité" xfId="95" builtinId="9" hidden="1"/>
    <cellStyle name="Lien hypertexte visité" xfId="97" builtinId="9" hidden="1"/>
    <cellStyle name="Lien hypertexte visité" xfId="99" builtinId="9" hidden="1"/>
    <cellStyle name="Lien hypertexte visité" xfId="101" builtinId="9" hidden="1"/>
    <cellStyle name="Lien hypertexte visité" xfId="103" builtinId="9" hidden="1"/>
    <cellStyle name="Lien hypertexte visité" xfId="105" builtinId="9" hidden="1"/>
    <cellStyle name="Lien hypertexte visité" xfId="107" builtinId="9" hidden="1"/>
    <cellStyle name="Lien hypertexte visité" xfId="109" builtinId="9" hidden="1"/>
    <cellStyle name="Lien hypertexte visité" xfId="111" builtinId="9" hidden="1"/>
    <cellStyle name="Lien hypertexte visité" xfId="113" builtinId="9" hidden="1"/>
    <cellStyle name="Lien hypertexte visité" xfId="115" builtinId="9" hidden="1"/>
    <cellStyle name="Lien hypertexte visité" xfId="117" builtinId="9" hidden="1"/>
    <cellStyle name="Lien hypertexte visité" xfId="119" builtinId="9" hidden="1"/>
    <cellStyle name="Lien hypertexte visité" xfId="121" builtinId="9" hidden="1"/>
    <cellStyle name="Lien hypertexte visité" xfId="123" builtinId="9" hidden="1"/>
    <cellStyle name="Milliers 2" xfId="126" xr:uid="{8D91136E-4B33-4A4C-BB2C-10F0B670FAAA}"/>
    <cellStyle name="Monétaire" xfId="130" builtinId="4"/>
    <cellStyle name="Monétaire 2" xfId="5" xr:uid="{00000000-0005-0000-0000-00006C000000}"/>
    <cellStyle name="Monétaire 2 2" xfId="6" xr:uid="{00000000-0005-0000-0000-00006D000000}"/>
    <cellStyle name="Monétaire 3" xfId="7" xr:uid="{00000000-0005-0000-0000-00006E000000}"/>
    <cellStyle name="Monétaire 4" xfId="125" xr:uid="{E29E9019-8D11-0B42-9CB5-FAA747E9F9AE}"/>
    <cellStyle name="Monétaire 5" xfId="127" xr:uid="{1144CE5E-18D9-3147-B244-57F5D2A6C3CD}"/>
    <cellStyle name="Normal" xfId="0" builtinId="0"/>
    <cellStyle name="Normal 2" xfId="8" xr:uid="{00000000-0005-0000-0000-000070000000}"/>
    <cellStyle name="Normal 2 2" xfId="9" xr:uid="{00000000-0005-0000-0000-000071000000}"/>
    <cellStyle name="Normal 2 2 2" xfId="10" xr:uid="{00000000-0005-0000-0000-000072000000}"/>
    <cellStyle name="Normal 3" xfId="63" xr:uid="{00000000-0005-0000-0000-000073000000}"/>
    <cellStyle name="Normal 3 2" xfId="124" xr:uid="{0F8C8EB4-F44F-C24C-A973-0CB1B3B52679}"/>
    <cellStyle name="Normal 3 3" xfId="129" xr:uid="{81F69733-A6A8-844B-8555-A2FD030605FF}"/>
    <cellStyle name="Pourcentage 2" xfId="11" xr:uid="{00000000-0005-0000-0000-000074000000}"/>
    <cellStyle name="Satisfaisant" xfId="12" xr:uid="{00000000-0005-0000-0000-000075000000}"/>
    <cellStyle name="Titre" xfId="13" xr:uid="{00000000-0005-0000-0000-000076000000}"/>
    <cellStyle name="Titre 1" xfId="14" xr:uid="{00000000-0005-0000-0000-000077000000}"/>
    <cellStyle name="Titre 2" xfId="15" xr:uid="{00000000-0005-0000-0000-000078000000}"/>
    <cellStyle name="Titre 3" xfId="16" xr:uid="{00000000-0005-0000-0000-000079000000}"/>
    <cellStyle name="Titre 4" xfId="17" xr:uid="{00000000-0005-0000-0000-00007A000000}"/>
    <cellStyle name="Vérification" xfId="18" xr:uid="{00000000-0005-0000-0000-00007B000000}"/>
  </cellStyles>
  <dxfs count="0"/>
  <tableStyles count="0" defaultTableStyle="TableStyleMedium9" defaultPivotStyle="PivotStyleMedium4"/>
  <colors>
    <mruColors>
      <color rgb="FF000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christianlatour/Library/Mobile%20Documents/com~apple~CloudDocs/COURS%20ME&#769;RICI/Hiver%202021/Finance%20gaganante%20(430-853-ME)/Les%20Multiples%20Plaisirs%20Gourmands/%20S%20-%20Mode&#768;leBudge&#769;taire%20Les%20Multiples%20Plaisirs%20Gourmands%20(Re&#769;el%20d'ope&#769;ration).xlsx?7449A297" TargetMode="External"/><Relationship Id="rId1" Type="http://schemas.openxmlformats.org/officeDocument/2006/relationships/externalLinkPath" Target="file:///7449A297/%20S%20-%20Mode&#768;leBudge&#769;taire%20Les%20Multiples%20Plaisirs%20Gourmands%20(Re&#769;el%20d'ope&#769;r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cbookair/Library/Mobile%20Documents/com~apple~CloudDocs/COURS%20ME&#769;RICI/Hiver%202021/Finance%20gaganante%20(430-853-ME)/Resto%20A%20+/S%20-%20E&#769;tats%20financiers%20Resto%20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2021"/>
      <sheetName val="Achalandage 2021"/>
      <sheetName val="% Occupation"/>
      <sheetName val="Formule pour le calcul D"/>
      <sheetName val="Calcul CmO et PmO"/>
      <sheetName val="Coût marchandises vendues"/>
      <sheetName val=" Total des coûts de MO"/>
      <sheetName val="Salaire (planification)"/>
      <sheetName val="Coût d'occupation "/>
      <sheetName val="Coût direct d'exploitation "/>
      <sheetName val="Musique &amp; Divertissement"/>
      <sheetName val="Mark &amp; Communication marketing"/>
      <sheetName val="Services publics"/>
      <sheetName val="Administration &amp; Frais généraux"/>
      <sheetName val="Entretien &amp; Réparation"/>
      <sheetName val="Frais financier"/>
      <sheetName val="Amortissement"/>
      <sheetName val="État des Résultats"/>
      <sheetName val="Bilan début-fin"/>
      <sheetName val="Tableau de trésorerie"/>
      <sheetName val="Ind. de performance"/>
      <sheetName val="Questions"/>
    </sheetNames>
    <sheetDataSet>
      <sheetData sheetId="0"/>
      <sheetData sheetId="1" refreshError="1"/>
      <sheetData sheetId="2">
        <row r="9">
          <cell r="H9">
            <v>31</v>
          </cell>
          <cell r="I9">
            <v>30</v>
          </cell>
          <cell r="J9">
            <v>31</v>
          </cell>
          <cell r="K9">
            <v>31</v>
          </cell>
          <cell r="L9">
            <v>30</v>
          </cell>
          <cell r="M9">
            <v>31</v>
          </cell>
          <cell r="N9">
            <v>30</v>
          </cell>
          <cell r="O9">
            <v>31</v>
          </cell>
          <cell r="P9">
            <v>365</v>
          </cell>
        </row>
      </sheetData>
      <sheetData sheetId="3" refreshError="1"/>
      <sheetData sheetId="4" refreshError="1"/>
      <sheetData sheetId="5">
        <row r="71">
          <cell r="P71">
            <v>2.0269052405745915</v>
          </cell>
          <cell r="S71">
            <v>1.9972381083211026</v>
          </cell>
          <cell r="V71">
            <v>2.0135472128191609</v>
          </cell>
          <cell r="Y71">
            <v>2.0625608796385473</v>
          </cell>
          <cell r="AB71">
            <v>1.9353426895807193</v>
          </cell>
          <cell r="AE71">
            <v>2.0328621803419566</v>
          </cell>
          <cell r="AH71">
            <v>1.9116804262635336</v>
          </cell>
          <cell r="AK71">
            <v>2.0973004647941718</v>
          </cell>
          <cell r="AO71">
            <v>48.035663202059695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7">
          <cell r="E27" t="str">
            <v>Période de paiement des comptes fournisseurs</v>
          </cell>
        </row>
      </sheetData>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État des Résultats"/>
      <sheetName val="Bilan (2)"/>
      <sheetName val="Tableau de trésorerie"/>
      <sheetName val="Ind. de performance"/>
    </sheetNames>
    <sheetDataSet>
      <sheetData sheetId="0">
        <row r="14">
          <cell r="E14">
            <v>0</v>
          </cell>
        </row>
      </sheetData>
      <sheetData sheetId="1">
        <row r="16">
          <cell r="E16">
            <v>0</v>
          </cell>
        </row>
        <row r="19">
          <cell r="E19">
            <v>1500</v>
          </cell>
        </row>
        <row r="44">
          <cell r="E44">
            <v>58980</v>
          </cell>
        </row>
      </sheetData>
      <sheetData sheetId="2" refreshError="1"/>
      <sheetData sheetId="3"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hrimag.com/Cout-direct-d-exploitation-GL-7400-7499"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hrimag.com/Musique-Divertissement-GL-7500-7599"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hrimag.com/Marketing-Communication-marketing-GL-7600-7699"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hrimag.com/Services-publics-GL-7700-7799"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hrimag.com/Entretien-Reparations-GL-7900-7999"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www.hrimag.com/La-budgetisation-de-vos-frais-financiers-GL-8100-8199" TargetMode="External"/><Relationship Id="rId3" Type="http://schemas.openxmlformats.org/officeDocument/2006/relationships/hyperlink" Target="https://www.hrimag.com/Musique-Divertissement-GL-7500-7599" TargetMode="External"/><Relationship Id="rId7" Type="http://schemas.openxmlformats.org/officeDocument/2006/relationships/hyperlink" Target="https://www.hrimag.com/Entretien-Reparations-GL-7900-7999" TargetMode="External"/><Relationship Id="rId2" Type="http://schemas.openxmlformats.org/officeDocument/2006/relationships/hyperlink" Target="https://www.hrimag.com/Cout-direct-d-exploitation-GL-7400-7499" TargetMode="External"/><Relationship Id="rId1" Type="http://schemas.openxmlformats.org/officeDocument/2006/relationships/hyperlink" Target="https://www.hrimag.com/Cout-d-occupation-GL-7300-7399" TargetMode="External"/><Relationship Id="rId6" Type="http://schemas.openxmlformats.org/officeDocument/2006/relationships/hyperlink" Target="https://www.hrimag.com/Administration-Frais-generaux-GL-7800-7899" TargetMode="External"/><Relationship Id="rId5" Type="http://schemas.openxmlformats.org/officeDocument/2006/relationships/hyperlink" Target="https://www.hrimag.com/Services-publics-GL-7700-7799" TargetMode="External"/><Relationship Id="rId4" Type="http://schemas.openxmlformats.org/officeDocument/2006/relationships/hyperlink" Target="https://www.hrimag.com/Marketing-Communication-marketing-GL-7600-7699" TargetMode="External"/><Relationship Id="rId9" Type="http://schemas.openxmlformats.org/officeDocument/2006/relationships/hyperlink" Target="https://www.hrimag.com/La-budgetisation-de-vos-couts-d-amortissement-GL-8500-8599"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hrimag.com/Cout-d-occupation-GL-7300-73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1"/>
  </sheetPr>
  <dimension ref="B1:P54"/>
  <sheetViews>
    <sheetView zoomScale="125" workbookViewId="0">
      <pane xSplit="3" ySplit="8" topLeftCell="D9" activePane="bottomRight" state="frozen"/>
      <selection pane="topRight" activeCell="D1" sqref="D1"/>
      <selection pane="bottomLeft" activeCell="A9" sqref="A9"/>
      <selection pane="bottomRight"/>
    </sheetView>
  </sheetViews>
  <sheetFormatPr baseColWidth="10" defaultRowHeight="13" x14ac:dyDescent="0.15"/>
  <cols>
    <col min="1" max="1" width="1.5" customWidth="1"/>
    <col min="2" max="2" width="2.5" customWidth="1"/>
    <col min="4" max="4" width="15.1640625" bestFit="1" customWidth="1"/>
    <col min="5" max="5" width="11" customWidth="1"/>
    <col min="6" max="6" width="15.1640625" bestFit="1" customWidth="1"/>
    <col min="7" max="7" width="14.1640625" customWidth="1"/>
    <col min="8" max="8" width="14" customWidth="1"/>
    <col min="9" max="9" width="14" bestFit="1" customWidth="1"/>
    <col min="10" max="10" width="13.83203125" bestFit="1" customWidth="1"/>
    <col min="11" max="11" width="15" bestFit="1" customWidth="1"/>
    <col min="12" max="12" width="15.5" customWidth="1"/>
    <col min="13" max="13" width="14.33203125" customWidth="1"/>
    <col min="14" max="15" width="14.6640625" customWidth="1"/>
    <col min="16" max="16" width="11.6640625" bestFit="1" customWidth="1"/>
    <col min="21" max="22" width="12.33203125" bestFit="1" customWidth="1"/>
  </cols>
  <sheetData>
    <row r="1" spans="2:16" ht="14" thickBot="1" x14ac:dyDescent="0.2"/>
    <row r="2" spans="2:16" ht="19" thickTop="1" x14ac:dyDescent="0.2">
      <c r="B2" s="1250" t="str">
        <f>'État des Résultats'!C2</f>
        <v>Les Multiples Plaisirs gourmands</v>
      </c>
      <c r="C2" s="1251"/>
      <c r="D2" s="1251"/>
      <c r="E2" s="1251"/>
      <c r="F2" s="1251"/>
      <c r="G2" s="1251"/>
      <c r="H2" s="1251"/>
      <c r="I2" s="1251"/>
      <c r="J2" s="1251"/>
      <c r="K2" s="1251"/>
      <c r="L2" s="1251"/>
      <c r="M2" s="1251"/>
      <c r="N2" s="1251"/>
      <c r="O2" s="1252"/>
    </row>
    <row r="3" spans="2:16" ht="16" x14ac:dyDescent="0.2">
      <c r="B3" s="1253" t="str">
        <f>'État des Résultats'!C3</f>
        <v xml:space="preserve">États des résultats </v>
      </c>
      <c r="C3" s="1254"/>
      <c r="D3" s="1254"/>
      <c r="E3" s="1254"/>
      <c r="F3" s="1254"/>
      <c r="G3" s="1254"/>
      <c r="H3" s="1254"/>
      <c r="I3" s="1254"/>
      <c r="J3" s="1254"/>
      <c r="K3" s="1254"/>
      <c r="L3" s="1254"/>
      <c r="M3" s="1254"/>
      <c r="N3" s="1254"/>
      <c r="O3" s="1255"/>
    </row>
    <row r="4" spans="2:16" ht="17" thickBot="1" x14ac:dyDescent="0.25">
      <c r="B4" s="1253" t="str">
        <f>'État des Résultats'!C4</f>
        <v>Pour la période du 1er janvier 2021 au 31 décembre 2021</v>
      </c>
      <c r="C4" s="1254"/>
      <c r="D4" s="1254"/>
      <c r="E4" s="1254"/>
      <c r="F4" s="1254"/>
      <c r="G4" s="1254"/>
      <c r="H4" s="1254"/>
      <c r="I4" s="1254"/>
      <c r="J4" s="1254"/>
      <c r="K4" s="1254"/>
      <c r="L4" s="1254"/>
      <c r="M4" s="1254"/>
      <c r="N4" s="1254"/>
      <c r="O4" s="1255"/>
    </row>
    <row r="5" spans="2:16" ht="14" thickTop="1" x14ac:dyDescent="0.15">
      <c r="B5" s="1"/>
      <c r="C5" s="2"/>
      <c r="D5" s="3" t="s">
        <v>31</v>
      </c>
      <c r="E5" s="3" t="s">
        <v>32</v>
      </c>
      <c r="F5" s="3" t="s">
        <v>33</v>
      </c>
      <c r="G5" s="3" t="s">
        <v>25</v>
      </c>
      <c r="H5" s="3" t="s">
        <v>34</v>
      </c>
      <c r="I5" s="3" t="s">
        <v>35</v>
      </c>
      <c r="J5" s="3" t="s">
        <v>36</v>
      </c>
      <c r="K5" s="3" t="s">
        <v>37</v>
      </c>
      <c r="L5" s="3" t="s">
        <v>38</v>
      </c>
      <c r="M5" s="3" t="s">
        <v>39</v>
      </c>
      <c r="N5" s="3" t="s">
        <v>40</v>
      </c>
      <c r="O5" s="4" t="s">
        <v>41</v>
      </c>
    </row>
    <row r="6" spans="2:16" ht="14" thickBot="1" x14ac:dyDescent="0.2">
      <c r="B6" s="5"/>
      <c r="C6" s="6"/>
      <c r="D6" s="287" t="s">
        <v>55</v>
      </c>
      <c r="E6" s="287" t="s">
        <v>56</v>
      </c>
      <c r="F6" s="287" t="s">
        <v>57</v>
      </c>
      <c r="G6" s="287" t="s">
        <v>58</v>
      </c>
      <c r="H6" s="287" t="s">
        <v>59</v>
      </c>
      <c r="I6" s="287" t="s">
        <v>60</v>
      </c>
      <c r="J6" s="287" t="s">
        <v>61</v>
      </c>
      <c r="K6" s="287" t="s">
        <v>62</v>
      </c>
      <c r="L6" s="287" t="s">
        <v>63</v>
      </c>
      <c r="M6" s="287" t="s">
        <v>64</v>
      </c>
      <c r="N6" s="287" t="s">
        <v>65</v>
      </c>
      <c r="O6" s="288" t="s">
        <v>66</v>
      </c>
    </row>
    <row r="7" spans="2:16" ht="15" thickTop="1" thickBot="1" x14ac:dyDescent="0.2">
      <c r="B7" s="1256" t="s">
        <v>26</v>
      </c>
      <c r="C7" s="1257"/>
      <c r="D7" s="73">
        <v>30</v>
      </c>
      <c r="E7" s="74">
        <f t="shared" ref="E7:O7" si="0">+D7</f>
        <v>30</v>
      </c>
      <c r="F7" s="75">
        <f t="shared" si="0"/>
        <v>30</v>
      </c>
      <c r="G7" s="75">
        <f t="shared" si="0"/>
        <v>30</v>
      </c>
      <c r="H7" s="75">
        <f t="shared" si="0"/>
        <v>30</v>
      </c>
      <c r="I7" s="75">
        <f t="shared" si="0"/>
        <v>30</v>
      </c>
      <c r="J7" s="75">
        <f t="shared" si="0"/>
        <v>30</v>
      </c>
      <c r="K7" s="75">
        <f t="shared" si="0"/>
        <v>30</v>
      </c>
      <c r="L7" s="75">
        <f t="shared" si="0"/>
        <v>30</v>
      </c>
      <c r="M7" s="75">
        <f t="shared" si="0"/>
        <v>30</v>
      </c>
      <c r="N7" s="75">
        <f t="shared" si="0"/>
        <v>30</v>
      </c>
      <c r="O7" s="76">
        <f t="shared" si="0"/>
        <v>30</v>
      </c>
    </row>
    <row r="8" spans="2:16" ht="15" thickTop="1" thickBot="1" x14ac:dyDescent="0.2">
      <c r="B8" s="1258" t="s">
        <v>27</v>
      </c>
      <c r="C8" s="1259"/>
      <c r="D8" s="71">
        <v>31</v>
      </c>
      <c r="E8" s="71">
        <v>28</v>
      </c>
      <c r="F8" s="71">
        <v>31</v>
      </c>
      <c r="G8" s="71">
        <v>30</v>
      </c>
      <c r="H8" s="71">
        <v>31</v>
      </c>
      <c r="I8" s="71">
        <v>30</v>
      </c>
      <c r="J8" s="71">
        <v>31</v>
      </c>
      <c r="K8" s="71">
        <v>31</v>
      </c>
      <c r="L8" s="71">
        <v>30</v>
      </c>
      <c r="M8" s="71">
        <v>31</v>
      </c>
      <c r="N8" s="71">
        <v>30</v>
      </c>
      <c r="O8" s="72">
        <v>31</v>
      </c>
      <c r="P8" s="39" t="s">
        <v>2</v>
      </c>
    </row>
    <row r="9" spans="2:16" ht="14" thickTop="1" x14ac:dyDescent="0.15">
      <c r="B9" s="40">
        <v>1</v>
      </c>
      <c r="C9" s="41" t="s">
        <v>1</v>
      </c>
      <c r="D9" s="135"/>
      <c r="E9" s="135" t="s">
        <v>67</v>
      </c>
      <c r="F9" s="135">
        <v>44256</v>
      </c>
      <c r="G9" s="135"/>
      <c r="H9" s="135"/>
      <c r="I9" s="135"/>
      <c r="J9" s="135"/>
      <c r="K9" s="135"/>
      <c r="L9" s="135"/>
      <c r="M9" s="135"/>
      <c r="N9" s="135">
        <v>44501</v>
      </c>
      <c r="O9" s="136"/>
    </row>
    <row r="10" spans="2:16" x14ac:dyDescent="0.15">
      <c r="B10" s="42" t="s">
        <v>2</v>
      </c>
      <c r="C10" s="43" t="s">
        <v>11</v>
      </c>
      <c r="D10" s="134"/>
      <c r="E10" s="134" t="s">
        <v>69</v>
      </c>
      <c r="F10" s="134">
        <v>44257</v>
      </c>
      <c r="G10" s="134"/>
      <c r="H10" s="134"/>
      <c r="I10" s="134">
        <v>44348</v>
      </c>
      <c r="J10" s="134"/>
      <c r="K10" s="137"/>
      <c r="L10" s="134"/>
      <c r="M10" s="134"/>
      <c r="N10" s="134">
        <v>44502</v>
      </c>
      <c r="O10" s="138"/>
    </row>
    <row r="11" spans="2:16" x14ac:dyDescent="0.15">
      <c r="B11" s="42" t="s">
        <v>2</v>
      </c>
      <c r="C11" s="43" t="s">
        <v>12</v>
      </c>
      <c r="D11" s="134"/>
      <c r="E11" s="134" t="s">
        <v>70</v>
      </c>
      <c r="F11" s="134">
        <v>44258</v>
      </c>
      <c r="G11" s="134"/>
      <c r="H11" s="134"/>
      <c r="I11" s="134">
        <v>44349</v>
      </c>
      <c r="J11" s="134"/>
      <c r="K11" s="137"/>
      <c r="L11" s="134">
        <v>44440</v>
      </c>
      <c r="M11" s="134"/>
      <c r="N11" s="134">
        <v>44503</v>
      </c>
      <c r="O11" s="138" t="s">
        <v>95</v>
      </c>
    </row>
    <row r="12" spans="2:16" x14ac:dyDescent="0.15">
      <c r="B12" s="42" t="s">
        <v>2</v>
      </c>
      <c r="C12" s="43" t="s">
        <v>13</v>
      </c>
      <c r="D12" s="134"/>
      <c r="E12" s="134" t="s">
        <v>71</v>
      </c>
      <c r="F12" s="134">
        <v>44259</v>
      </c>
      <c r="G12" s="134">
        <v>44287</v>
      </c>
      <c r="H12" s="134"/>
      <c r="I12" s="134">
        <v>44350</v>
      </c>
      <c r="J12" s="134">
        <v>44378</v>
      </c>
      <c r="K12" s="137"/>
      <c r="L12" s="134">
        <v>44441</v>
      </c>
      <c r="M12" s="134"/>
      <c r="N12" s="134">
        <v>44504</v>
      </c>
      <c r="O12" s="138" t="s">
        <v>96</v>
      </c>
    </row>
    <row r="13" spans="2:16" x14ac:dyDescent="0.15">
      <c r="B13" s="42" t="s">
        <v>2</v>
      </c>
      <c r="C13" s="43" t="s">
        <v>14</v>
      </c>
      <c r="D13" s="134">
        <v>44197</v>
      </c>
      <c r="E13" s="134" t="s">
        <v>72</v>
      </c>
      <c r="F13" s="134">
        <v>44260</v>
      </c>
      <c r="G13" s="134">
        <v>44288</v>
      </c>
      <c r="H13" s="134"/>
      <c r="I13" s="134">
        <v>44351</v>
      </c>
      <c r="J13" s="134">
        <v>44379</v>
      </c>
      <c r="K13" s="137"/>
      <c r="L13" s="134">
        <v>44442</v>
      </c>
      <c r="M13" s="134">
        <v>44470</v>
      </c>
      <c r="N13" s="134">
        <v>44505</v>
      </c>
      <c r="O13" s="138" t="s">
        <v>97</v>
      </c>
    </row>
    <row r="14" spans="2:16" x14ac:dyDescent="0.15">
      <c r="B14" s="42" t="s">
        <v>2</v>
      </c>
      <c r="C14" s="43" t="s">
        <v>15</v>
      </c>
      <c r="D14" s="134">
        <v>44198</v>
      </c>
      <c r="E14" s="134" t="s">
        <v>73</v>
      </c>
      <c r="F14" s="134">
        <v>44261</v>
      </c>
      <c r="G14" s="134">
        <v>44289</v>
      </c>
      <c r="H14" s="134">
        <v>44317</v>
      </c>
      <c r="I14" s="134">
        <v>44352</v>
      </c>
      <c r="J14" s="134">
        <v>44380</v>
      </c>
      <c r="K14" s="137"/>
      <c r="L14" s="134">
        <v>44443</v>
      </c>
      <c r="M14" s="134">
        <v>44471</v>
      </c>
      <c r="N14" s="134">
        <v>44506</v>
      </c>
      <c r="O14" s="138" t="s">
        <v>98</v>
      </c>
    </row>
    <row r="15" spans="2:16" ht="14" thickBot="1" x14ac:dyDescent="0.2">
      <c r="B15" s="44" t="s">
        <v>2</v>
      </c>
      <c r="C15" s="45" t="s">
        <v>16</v>
      </c>
      <c r="D15" s="133">
        <v>44199</v>
      </c>
      <c r="E15" s="134" t="s">
        <v>74</v>
      </c>
      <c r="F15" s="134">
        <v>44262</v>
      </c>
      <c r="G15" s="134">
        <v>44290</v>
      </c>
      <c r="H15" s="134">
        <v>44318</v>
      </c>
      <c r="I15" s="134">
        <v>44353</v>
      </c>
      <c r="J15" s="158">
        <v>44381</v>
      </c>
      <c r="K15" s="134">
        <v>44409</v>
      </c>
      <c r="L15" s="139">
        <v>44444</v>
      </c>
      <c r="M15" s="139">
        <v>44472</v>
      </c>
      <c r="N15" s="137">
        <v>44507</v>
      </c>
      <c r="O15" s="138" t="s">
        <v>99</v>
      </c>
    </row>
    <row r="16" spans="2:16" ht="14" thickTop="1" x14ac:dyDescent="0.15">
      <c r="B16" s="40">
        <v>2</v>
      </c>
      <c r="C16" s="41" t="str">
        <f t="shared" ref="C16:C42" si="1">+C9</f>
        <v>Lundi</v>
      </c>
      <c r="D16" s="135">
        <v>44200</v>
      </c>
      <c r="E16" s="135" t="s">
        <v>75</v>
      </c>
      <c r="F16" s="135">
        <v>44263</v>
      </c>
      <c r="G16" s="135">
        <v>44291</v>
      </c>
      <c r="H16" s="135">
        <v>44319</v>
      </c>
      <c r="I16" s="135">
        <v>44354</v>
      </c>
      <c r="J16" s="135">
        <v>44382</v>
      </c>
      <c r="K16" s="135">
        <v>44410</v>
      </c>
      <c r="L16" s="135">
        <v>44445</v>
      </c>
      <c r="M16" s="135">
        <v>44473</v>
      </c>
      <c r="N16" s="135">
        <v>44508</v>
      </c>
      <c r="O16" s="136" t="s">
        <v>100</v>
      </c>
    </row>
    <row r="17" spans="2:16" x14ac:dyDescent="0.15">
      <c r="B17" s="42" t="s">
        <v>2</v>
      </c>
      <c r="C17" s="43" t="str">
        <f t="shared" si="1"/>
        <v>Mardi</v>
      </c>
      <c r="D17" s="142">
        <v>44201</v>
      </c>
      <c r="E17" s="142" t="s">
        <v>76</v>
      </c>
      <c r="F17" s="142">
        <v>44264</v>
      </c>
      <c r="G17" s="142">
        <v>44292</v>
      </c>
      <c r="H17" s="142">
        <v>44320</v>
      </c>
      <c r="I17" s="142">
        <v>44355</v>
      </c>
      <c r="J17" s="142">
        <v>44383</v>
      </c>
      <c r="K17" s="142">
        <v>44411</v>
      </c>
      <c r="L17" s="142">
        <v>44446</v>
      </c>
      <c r="M17" s="142">
        <v>44474</v>
      </c>
      <c r="N17" s="142">
        <v>44509</v>
      </c>
      <c r="O17" s="143" t="s">
        <v>101</v>
      </c>
    </row>
    <row r="18" spans="2:16" x14ac:dyDescent="0.15">
      <c r="B18" s="42" t="s">
        <v>2</v>
      </c>
      <c r="C18" s="43" t="str">
        <f t="shared" si="1"/>
        <v>Mercredi</v>
      </c>
      <c r="D18" s="142">
        <v>44202</v>
      </c>
      <c r="E18" s="142" t="s">
        <v>77</v>
      </c>
      <c r="F18" s="142">
        <v>44265</v>
      </c>
      <c r="G18" s="142">
        <v>44293</v>
      </c>
      <c r="H18" s="142">
        <v>44321</v>
      </c>
      <c r="I18" s="142">
        <v>44356</v>
      </c>
      <c r="J18" s="142">
        <v>44384</v>
      </c>
      <c r="K18" s="142">
        <v>44412</v>
      </c>
      <c r="L18" s="142">
        <v>44447</v>
      </c>
      <c r="M18" s="142">
        <v>44475</v>
      </c>
      <c r="N18" s="142">
        <v>44510</v>
      </c>
      <c r="O18" s="143" t="s">
        <v>102</v>
      </c>
    </row>
    <row r="19" spans="2:16" x14ac:dyDescent="0.15">
      <c r="B19" s="42" t="s">
        <v>2</v>
      </c>
      <c r="C19" s="43" t="str">
        <f t="shared" si="1"/>
        <v>Jeudi</v>
      </c>
      <c r="D19" s="142">
        <v>44203</v>
      </c>
      <c r="E19" s="142" t="s">
        <v>78</v>
      </c>
      <c r="F19" s="142">
        <v>44266</v>
      </c>
      <c r="G19" s="142">
        <v>44294</v>
      </c>
      <c r="H19" s="142">
        <v>44322</v>
      </c>
      <c r="I19" s="142">
        <v>44357</v>
      </c>
      <c r="J19" s="142">
        <v>44385</v>
      </c>
      <c r="K19" s="142">
        <v>44413</v>
      </c>
      <c r="L19" s="142">
        <v>44448</v>
      </c>
      <c r="M19" s="142">
        <v>44476</v>
      </c>
      <c r="N19" s="142">
        <v>44511</v>
      </c>
      <c r="O19" s="143" t="s">
        <v>103</v>
      </c>
    </row>
    <row r="20" spans="2:16" x14ac:dyDescent="0.15">
      <c r="B20" s="42" t="s">
        <v>2</v>
      </c>
      <c r="C20" s="43" t="str">
        <f t="shared" si="1"/>
        <v>Vendredi</v>
      </c>
      <c r="D20" s="142">
        <v>44204</v>
      </c>
      <c r="E20" s="142" t="s">
        <v>79</v>
      </c>
      <c r="F20" s="142">
        <v>44267</v>
      </c>
      <c r="G20" s="142">
        <v>44295</v>
      </c>
      <c r="H20" s="142">
        <v>44323</v>
      </c>
      <c r="I20" s="142">
        <v>44358</v>
      </c>
      <c r="J20" s="142">
        <v>44386</v>
      </c>
      <c r="K20" s="142">
        <v>44414</v>
      </c>
      <c r="L20" s="142">
        <v>44449</v>
      </c>
      <c r="M20" s="142">
        <v>44477</v>
      </c>
      <c r="N20" s="142">
        <v>44512</v>
      </c>
      <c r="O20" s="143" t="s">
        <v>104</v>
      </c>
    </row>
    <row r="21" spans="2:16" x14ac:dyDescent="0.15">
      <c r="B21" s="42" t="s">
        <v>2</v>
      </c>
      <c r="C21" s="43" t="str">
        <f t="shared" si="1"/>
        <v>Samedi</v>
      </c>
      <c r="D21" s="142">
        <v>44205</v>
      </c>
      <c r="E21" s="142" t="s">
        <v>80</v>
      </c>
      <c r="F21" s="142">
        <v>44268</v>
      </c>
      <c r="G21" s="142">
        <v>44296</v>
      </c>
      <c r="H21" s="142">
        <v>44324</v>
      </c>
      <c r="I21" s="142">
        <v>44359</v>
      </c>
      <c r="J21" s="142">
        <v>44387</v>
      </c>
      <c r="K21" s="142">
        <v>44415</v>
      </c>
      <c r="L21" s="142">
        <v>44450</v>
      </c>
      <c r="M21" s="142">
        <v>44478</v>
      </c>
      <c r="N21" s="142">
        <v>44513</v>
      </c>
      <c r="O21" s="143" t="s">
        <v>105</v>
      </c>
    </row>
    <row r="22" spans="2:16" ht="14" thickBot="1" x14ac:dyDescent="0.2">
      <c r="B22" s="44" t="s">
        <v>2</v>
      </c>
      <c r="C22" s="45" t="str">
        <f t="shared" si="1"/>
        <v>Dimanche</v>
      </c>
      <c r="D22" s="142">
        <v>44206</v>
      </c>
      <c r="E22" s="142" t="s">
        <v>81</v>
      </c>
      <c r="F22" s="142">
        <v>44269</v>
      </c>
      <c r="G22" s="142">
        <v>44297</v>
      </c>
      <c r="H22" s="142">
        <v>44325</v>
      </c>
      <c r="I22" s="142">
        <v>44360</v>
      </c>
      <c r="J22" s="140">
        <v>44388</v>
      </c>
      <c r="K22" s="140">
        <v>44416</v>
      </c>
      <c r="L22" s="142">
        <v>44451</v>
      </c>
      <c r="M22" s="142">
        <v>44479</v>
      </c>
      <c r="N22" s="142">
        <v>44514</v>
      </c>
      <c r="O22" s="143" t="s">
        <v>106</v>
      </c>
    </row>
    <row r="23" spans="2:16" ht="14" thickTop="1" x14ac:dyDescent="0.15">
      <c r="B23" s="40">
        <v>3</v>
      </c>
      <c r="C23" s="41" t="str">
        <f t="shared" si="1"/>
        <v>Lundi</v>
      </c>
      <c r="D23" s="135">
        <v>44207</v>
      </c>
      <c r="E23" s="135" t="s">
        <v>82</v>
      </c>
      <c r="F23" s="135">
        <v>44270</v>
      </c>
      <c r="G23" s="135">
        <v>44298</v>
      </c>
      <c r="H23" s="135">
        <v>44326</v>
      </c>
      <c r="I23" s="135">
        <v>44361</v>
      </c>
      <c r="J23" s="134">
        <v>44389</v>
      </c>
      <c r="K23" s="135">
        <v>44417</v>
      </c>
      <c r="L23" s="135">
        <v>44452</v>
      </c>
      <c r="M23" s="141">
        <v>44480</v>
      </c>
      <c r="N23" s="135">
        <v>44515</v>
      </c>
      <c r="O23" s="136" t="s">
        <v>107</v>
      </c>
      <c r="P23" t="s">
        <v>2</v>
      </c>
    </row>
    <row r="24" spans="2:16" x14ac:dyDescent="0.15">
      <c r="B24" s="42" t="s">
        <v>2</v>
      </c>
      <c r="C24" s="43" t="str">
        <f t="shared" si="1"/>
        <v>Mardi</v>
      </c>
      <c r="D24" s="142">
        <v>44208</v>
      </c>
      <c r="E24" s="142" t="s">
        <v>83</v>
      </c>
      <c r="F24" s="142">
        <v>44271</v>
      </c>
      <c r="G24" s="142">
        <v>44299</v>
      </c>
      <c r="H24" s="142">
        <v>44327</v>
      </c>
      <c r="I24" s="142">
        <v>44362</v>
      </c>
      <c r="J24" s="142">
        <v>44390</v>
      </c>
      <c r="K24" s="142">
        <v>44418</v>
      </c>
      <c r="L24" s="142">
        <v>44453</v>
      </c>
      <c r="M24" s="142">
        <v>44481</v>
      </c>
      <c r="N24" s="142">
        <v>44516</v>
      </c>
      <c r="O24" s="143" t="s">
        <v>108</v>
      </c>
    </row>
    <row r="25" spans="2:16" x14ac:dyDescent="0.15">
      <c r="B25" s="42" t="s">
        <v>2</v>
      </c>
      <c r="C25" s="43" t="str">
        <f t="shared" si="1"/>
        <v>Mercredi</v>
      </c>
      <c r="D25" s="142">
        <v>44209</v>
      </c>
      <c r="E25" s="142" t="s">
        <v>84</v>
      </c>
      <c r="F25" s="142">
        <v>44272</v>
      </c>
      <c r="G25" s="142">
        <v>44300</v>
      </c>
      <c r="H25" s="142">
        <v>44328</v>
      </c>
      <c r="I25" s="142">
        <v>44363</v>
      </c>
      <c r="J25" s="142">
        <v>44391</v>
      </c>
      <c r="K25" s="142">
        <v>44419</v>
      </c>
      <c r="L25" s="142">
        <v>44454</v>
      </c>
      <c r="M25" s="142">
        <v>44482</v>
      </c>
      <c r="N25" s="142">
        <v>44517</v>
      </c>
      <c r="O25" s="143" t="s">
        <v>109</v>
      </c>
    </row>
    <row r="26" spans="2:16" x14ac:dyDescent="0.15">
      <c r="B26" s="42" t="s">
        <v>2</v>
      </c>
      <c r="C26" s="43" t="str">
        <f t="shared" si="1"/>
        <v>Jeudi</v>
      </c>
      <c r="D26" s="142">
        <v>44210</v>
      </c>
      <c r="E26" s="142" t="s">
        <v>85</v>
      </c>
      <c r="F26" s="142">
        <v>44273</v>
      </c>
      <c r="G26" s="142">
        <v>44301</v>
      </c>
      <c r="H26" s="142">
        <v>44329</v>
      </c>
      <c r="I26" s="142">
        <v>44364</v>
      </c>
      <c r="J26" s="142">
        <v>44392</v>
      </c>
      <c r="K26" s="142">
        <v>44420</v>
      </c>
      <c r="L26" s="142">
        <v>44455</v>
      </c>
      <c r="M26" s="142">
        <v>44483</v>
      </c>
      <c r="N26" s="142">
        <v>44518</v>
      </c>
      <c r="O26" s="143" t="s">
        <v>110</v>
      </c>
    </row>
    <row r="27" spans="2:16" x14ac:dyDescent="0.15">
      <c r="B27" s="42" t="s">
        <v>2</v>
      </c>
      <c r="C27" s="43" t="str">
        <f t="shared" si="1"/>
        <v>Vendredi</v>
      </c>
      <c r="D27" s="142">
        <v>44211</v>
      </c>
      <c r="E27" s="142" t="s">
        <v>86</v>
      </c>
      <c r="F27" s="142">
        <v>44274</v>
      </c>
      <c r="G27" s="142">
        <v>44302</v>
      </c>
      <c r="H27" s="142">
        <v>44330</v>
      </c>
      <c r="I27" s="142">
        <v>44365</v>
      </c>
      <c r="J27" s="142">
        <v>44393</v>
      </c>
      <c r="K27" s="142">
        <v>44421</v>
      </c>
      <c r="L27" s="142">
        <v>44456</v>
      </c>
      <c r="M27" s="142">
        <v>44484</v>
      </c>
      <c r="N27" s="142">
        <v>44519</v>
      </c>
      <c r="O27" s="143" t="s">
        <v>111</v>
      </c>
    </row>
    <row r="28" spans="2:16" x14ac:dyDescent="0.15">
      <c r="B28" s="42" t="s">
        <v>2</v>
      </c>
      <c r="C28" s="43" t="str">
        <f t="shared" si="1"/>
        <v>Samedi</v>
      </c>
      <c r="D28" s="142">
        <v>44212</v>
      </c>
      <c r="E28" s="142" t="s">
        <v>87</v>
      </c>
      <c r="F28" s="142">
        <v>44275</v>
      </c>
      <c r="G28" s="142">
        <v>44303</v>
      </c>
      <c r="H28" s="142">
        <v>44331</v>
      </c>
      <c r="I28" s="142">
        <v>44366</v>
      </c>
      <c r="J28" s="142">
        <v>44394</v>
      </c>
      <c r="K28" s="142">
        <v>44422</v>
      </c>
      <c r="L28" s="142">
        <v>44457</v>
      </c>
      <c r="M28" s="142">
        <v>44485</v>
      </c>
      <c r="N28" s="142">
        <v>44520</v>
      </c>
      <c r="O28" s="143" t="s">
        <v>112</v>
      </c>
    </row>
    <row r="29" spans="2:16" ht="14" thickBot="1" x14ac:dyDescent="0.2">
      <c r="B29" s="44" t="s">
        <v>2</v>
      </c>
      <c r="C29" s="45" t="str">
        <f t="shared" si="1"/>
        <v>Dimanche</v>
      </c>
      <c r="D29" s="142">
        <v>44213</v>
      </c>
      <c r="E29" s="142" t="s">
        <v>88</v>
      </c>
      <c r="F29" s="142">
        <v>44276</v>
      </c>
      <c r="G29" s="142">
        <v>44304</v>
      </c>
      <c r="H29" s="142">
        <v>44332</v>
      </c>
      <c r="I29" s="142">
        <v>44367</v>
      </c>
      <c r="J29" s="140">
        <v>44395</v>
      </c>
      <c r="K29" s="142">
        <v>44423</v>
      </c>
      <c r="L29" s="142">
        <v>44458</v>
      </c>
      <c r="M29" s="142">
        <v>44486</v>
      </c>
      <c r="N29" s="142">
        <v>44521</v>
      </c>
      <c r="O29" s="143" t="s">
        <v>113</v>
      </c>
    </row>
    <row r="30" spans="2:16" ht="14" thickTop="1" x14ac:dyDescent="0.15">
      <c r="B30" s="40">
        <v>4</v>
      </c>
      <c r="C30" s="41" t="str">
        <f t="shared" si="1"/>
        <v>Lundi</v>
      </c>
      <c r="D30" s="135">
        <v>44214</v>
      </c>
      <c r="E30" s="135" t="s">
        <v>89</v>
      </c>
      <c r="F30" s="135">
        <v>44277</v>
      </c>
      <c r="G30" s="135">
        <v>44305</v>
      </c>
      <c r="H30" s="135">
        <v>44333</v>
      </c>
      <c r="I30" s="135">
        <v>44368</v>
      </c>
      <c r="J30" s="134">
        <v>44396</v>
      </c>
      <c r="K30" s="135">
        <v>44424</v>
      </c>
      <c r="L30" s="135">
        <v>44459</v>
      </c>
      <c r="M30" s="135">
        <v>44487</v>
      </c>
      <c r="N30" s="135">
        <v>44522</v>
      </c>
      <c r="O30" s="136" t="s">
        <v>114</v>
      </c>
    </row>
    <row r="31" spans="2:16" x14ac:dyDescent="0.15">
      <c r="B31" s="42" t="s">
        <v>2</v>
      </c>
      <c r="C31" s="43" t="str">
        <f t="shared" si="1"/>
        <v>Mardi</v>
      </c>
      <c r="D31" s="142">
        <v>44215</v>
      </c>
      <c r="E31" s="142" t="s">
        <v>90</v>
      </c>
      <c r="F31" s="142">
        <v>44278</v>
      </c>
      <c r="G31" s="142">
        <v>44306</v>
      </c>
      <c r="H31" s="142">
        <v>44334</v>
      </c>
      <c r="I31" s="142">
        <v>44369</v>
      </c>
      <c r="J31" s="142">
        <v>44397</v>
      </c>
      <c r="K31" s="142">
        <v>44425</v>
      </c>
      <c r="L31" s="142">
        <v>44460</v>
      </c>
      <c r="M31" s="142">
        <v>44488</v>
      </c>
      <c r="N31" s="142">
        <v>44523</v>
      </c>
      <c r="O31" s="143" t="s">
        <v>115</v>
      </c>
    </row>
    <row r="32" spans="2:16" x14ac:dyDescent="0.15">
      <c r="B32" s="42" t="s">
        <v>2</v>
      </c>
      <c r="C32" s="43" t="str">
        <f t="shared" si="1"/>
        <v>Mercredi</v>
      </c>
      <c r="D32" s="142">
        <v>44216</v>
      </c>
      <c r="E32" s="142" t="s">
        <v>91</v>
      </c>
      <c r="F32" s="142">
        <v>44279</v>
      </c>
      <c r="G32" s="142">
        <v>44307</v>
      </c>
      <c r="H32" s="142">
        <v>44335</v>
      </c>
      <c r="I32" s="142">
        <v>44370</v>
      </c>
      <c r="J32" s="142">
        <v>44398</v>
      </c>
      <c r="K32" s="142">
        <v>44426</v>
      </c>
      <c r="L32" s="142">
        <v>44461</v>
      </c>
      <c r="M32" s="142">
        <v>44489</v>
      </c>
      <c r="N32" s="142">
        <v>44524</v>
      </c>
      <c r="O32" s="143" t="s">
        <v>116</v>
      </c>
    </row>
    <row r="33" spans="2:15" x14ac:dyDescent="0.15">
      <c r="B33" s="42" t="s">
        <v>2</v>
      </c>
      <c r="C33" s="43" t="str">
        <f t="shared" si="1"/>
        <v>Jeudi</v>
      </c>
      <c r="D33" s="142">
        <v>44217</v>
      </c>
      <c r="E33" s="142" t="s">
        <v>92</v>
      </c>
      <c r="F33" s="142">
        <v>44280</v>
      </c>
      <c r="G33" s="142">
        <v>44308</v>
      </c>
      <c r="H33" s="142">
        <v>44336</v>
      </c>
      <c r="I33" s="142">
        <v>44371</v>
      </c>
      <c r="J33" s="142">
        <v>44399</v>
      </c>
      <c r="K33" s="142">
        <v>44427</v>
      </c>
      <c r="L33" s="142">
        <v>44462</v>
      </c>
      <c r="M33" s="142">
        <v>44490</v>
      </c>
      <c r="N33" s="142">
        <v>44525</v>
      </c>
      <c r="O33" s="143" t="s">
        <v>117</v>
      </c>
    </row>
    <row r="34" spans="2:15" x14ac:dyDescent="0.15">
      <c r="B34" s="42" t="s">
        <v>2</v>
      </c>
      <c r="C34" s="43" t="str">
        <f t="shared" si="1"/>
        <v>Vendredi</v>
      </c>
      <c r="D34" s="142">
        <v>44218</v>
      </c>
      <c r="E34" s="142" t="s">
        <v>93</v>
      </c>
      <c r="F34" s="142">
        <v>44281</v>
      </c>
      <c r="G34" s="142">
        <v>44309</v>
      </c>
      <c r="H34" s="142">
        <v>44337</v>
      </c>
      <c r="I34" s="142">
        <v>44372</v>
      </c>
      <c r="J34" s="142">
        <v>44400</v>
      </c>
      <c r="K34" s="142">
        <v>44428</v>
      </c>
      <c r="L34" s="142">
        <v>44463</v>
      </c>
      <c r="M34" s="142">
        <v>44491</v>
      </c>
      <c r="N34" s="142">
        <v>44526</v>
      </c>
      <c r="O34" s="143" t="s">
        <v>118</v>
      </c>
    </row>
    <row r="35" spans="2:15" x14ac:dyDescent="0.15">
      <c r="B35" s="42" t="s">
        <v>2</v>
      </c>
      <c r="C35" s="43" t="str">
        <f t="shared" si="1"/>
        <v>Samedi</v>
      </c>
      <c r="D35" s="142">
        <v>44219</v>
      </c>
      <c r="E35" s="142" t="s">
        <v>94</v>
      </c>
      <c r="F35" s="142">
        <v>44282</v>
      </c>
      <c r="G35" s="142">
        <v>44310</v>
      </c>
      <c r="H35" s="142">
        <v>44338</v>
      </c>
      <c r="I35" s="142">
        <v>44373</v>
      </c>
      <c r="J35" s="142">
        <v>44401</v>
      </c>
      <c r="K35" s="142">
        <v>44429</v>
      </c>
      <c r="L35" s="142">
        <v>44464</v>
      </c>
      <c r="M35" s="142">
        <v>44492</v>
      </c>
      <c r="N35" s="142">
        <v>44527</v>
      </c>
      <c r="O35" s="143" t="s">
        <v>119</v>
      </c>
    </row>
    <row r="36" spans="2:15" ht="14" thickBot="1" x14ac:dyDescent="0.2">
      <c r="B36" s="44"/>
      <c r="C36" s="45" t="str">
        <f t="shared" si="1"/>
        <v>Dimanche</v>
      </c>
      <c r="D36" s="142">
        <v>44220</v>
      </c>
      <c r="E36" s="142" t="s">
        <v>68</v>
      </c>
      <c r="F36" s="142">
        <v>44283</v>
      </c>
      <c r="G36" s="142">
        <v>44311</v>
      </c>
      <c r="H36" s="142">
        <v>44339</v>
      </c>
      <c r="I36" s="142">
        <v>44374</v>
      </c>
      <c r="J36" s="140">
        <v>44402</v>
      </c>
      <c r="K36" s="142">
        <v>44430</v>
      </c>
      <c r="L36" s="142">
        <v>44465</v>
      </c>
      <c r="M36" s="142">
        <v>44493</v>
      </c>
      <c r="N36" s="142">
        <v>44528</v>
      </c>
      <c r="O36" s="143" t="s">
        <v>120</v>
      </c>
    </row>
    <row r="37" spans="2:15" ht="15" thickTop="1" x14ac:dyDescent="0.15">
      <c r="B37" s="46">
        <v>5</v>
      </c>
      <c r="C37" s="47" t="str">
        <f t="shared" si="1"/>
        <v>Lundi</v>
      </c>
      <c r="D37" s="145">
        <v>44221</v>
      </c>
      <c r="E37" s="145"/>
      <c r="F37" s="145">
        <v>44284</v>
      </c>
      <c r="G37" s="145">
        <v>44312</v>
      </c>
      <c r="H37" s="145">
        <v>44340</v>
      </c>
      <c r="I37" s="145">
        <v>44375</v>
      </c>
      <c r="J37" s="134">
        <v>44403</v>
      </c>
      <c r="K37" s="145">
        <v>44431</v>
      </c>
      <c r="L37" s="145">
        <v>44466</v>
      </c>
      <c r="M37" s="145">
        <v>44494</v>
      </c>
      <c r="N37" s="145">
        <v>44529</v>
      </c>
      <c r="O37" s="159" t="s">
        <v>121</v>
      </c>
    </row>
    <row r="38" spans="2:15" ht="14" x14ac:dyDescent="0.15">
      <c r="B38" s="48"/>
      <c r="C38" s="49" t="str">
        <f t="shared" si="1"/>
        <v>Mardi</v>
      </c>
      <c r="D38" s="146">
        <v>44222</v>
      </c>
      <c r="E38" s="146"/>
      <c r="F38" s="146">
        <v>44285</v>
      </c>
      <c r="G38" s="146">
        <v>44313</v>
      </c>
      <c r="H38" s="146">
        <v>44341</v>
      </c>
      <c r="I38" s="146">
        <v>44376</v>
      </c>
      <c r="J38" s="142">
        <v>44404</v>
      </c>
      <c r="K38" s="146">
        <v>44432</v>
      </c>
      <c r="L38" s="146">
        <v>44467</v>
      </c>
      <c r="M38" s="146">
        <v>44495</v>
      </c>
      <c r="N38" s="146">
        <v>44530</v>
      </c>
      <c r="O38" s="147" t="s">
        <v>122</v>
      </c>
    </row>
    <row r="39" spans="2:15" ht="14" x14ac:dyDescent="0.15">
      <c r="B39" s="50"/>
      <c r="C39" s="51" t="str">
        <f t="shared" si="1"/>
        <v>Mercredi</v>
      </c>
      <c r="D39" s="146">
        <v>44223</v>
      </c>
      <c r="E39" s="146"/>
      <c r="F39" s="146">
        <v>44286</v>
      </c>
      <c r="G39" s="146">
        <v>44314</v>
      </c>
      <c r="H39" s="146">
        <v>44342</v>
      </c>
      <c r="I39" s="146">
        <v>44377</v>
      </c>
      <c r="J39" s="142">
        <v>44405</v>
      </c>
      <c r="K39" s="146">
        <v>44433</v>
      </c>
      <c r="L39" s="146">
        <v>44468</v>
      </c>
      <c r="M39" s="146">
        <v>44496</v>
      </c>
      <c r="N39" s="146"/>
      <c r="O39" s="147" t="s">
        <v>123</v>
      </c>
    </row>
    <row r="40" spans="2:15" ht="14" x14ac:dyDescent="0.15">
      <c r="B40" s="52"/>
      <c r="C40" s="53" t="str">
        <f t="shared" si="1"/>
        <v>Jeudi</v>
      </c>
      <c r="D40" s="146">
        <v>44224</v>
      </c>
      <c r="E40" s="146"/>
      <c r="F40" s="146"/>
      <c r="G40" s="146">
        <v>44315</v>
      </c>
      <c r="H40" s="146">
        <v>44343</v>
      </c>
      <c r="I40" s="146"/>
      <c r="J40" s="142">
        <v>44406</v>
      </c>
      <c r="K40" s="146">
        <v>44434</v>
      </c>
      <c r="L40" s="146">
        <v>44469</v>
      </c>
      <c r="M40" s="146">
        <v>44497</v>
      </c>
      <c r="N40" s="146"/>
      <c r="O40" s="147" t="s">
        <v>124</v>
      </c>
    </row>
    <row r="41" spans="2:15" ht="14" x14ac:dyDescent="0.15">
      <c r="B41" s="52"/>
      <c r="C41" s="53" t="str">
        <f t="shared" si="1"/>
        <v>Vendredi</v>
      </c>
      <c r="D41" s="146">
        <v>44225</v>
      </c>
      <c r="E41" s="146"/>
      <c r="F41" s="146"/>
      <c r="G41" s="146">
        <v>44316</v>
      </c>
      <c r="H41" s="146">
        <v>44344</v>
      </c>
      <c r="I41" s="146"/>
      <c r="J41" s="142">
        <v>44407</v>
      </c>
      <c r="K41" s="146">
        <v>44435</v>
      </c>
      <c r="L41" s="146"/>
      <c r="M41" s="146">
        <v>44498</v>
      </c>
      <c r="N41" s="146"/>
      <c r="O41" s="147" t="s">
        <v>125</v>
      </c>
    </row>
    <row r="42" spans="2:15" x14ac:dyDescent="0.15">
      <c r="B42" s="52"/>
      <c r="C42" s="53" t="str">
        <f t="shared" si="1"/>
        <v>Samedi</v>
      </c>
      <c r="D42" s="146">
        <v>44226</v>
      </c>
      <c r="E42" s="146"/>
      <c r="F42" s="146"/>
      <c r="G42" s="148"/>
      <c r="H42" s="146">
        <v>44345</v>
      </c>
      <c r="I42" s="148"/>
      <c r="J42" s="142">
        <v>44408</v>
      </c>
      <c r="K42" s="146">
        <v>44436</v>
      </c>
      <c r="L42" s="146"/>
      <c r="M42" s="146">
        <v>44499</v>
      </c>
      <c r="N42" s="146"/>
      <c r="O42" s="147"/>
    </row>
    <row r="43" spans="2:15" ht="14" thickBot="1" x14ac:dyDescent="0.2">
      <c r="B43" s="54"/>
      <c r="C43" s="45" t="str">
        <f>+C36</f>
        <v>Dimanche</v>
      </c>
      <c r="D43" s="149">
        <v>44227</v>
      </c>
      <c r="E43" s="149"/>
      <c r="F43" s="149"/>
      <c r="G43" s="140"/>
      <c r="H43" s="149">
        <v>44346</v>
      </c>
      <c r="I43" s="140"/>
      <c r="J43" s="144"/>
      <c r="K43" s="149">
        <v>44437</v>
      </c>
      <c r="L43" s="149"/>
      <c r="M43" s="149">
        <v>44500</v>
      </c>
      <c r="N43" s="149"/>
      <c r="O43" s="150"/>
    </row>
    <row r="44" spans="2:15" ht="15" thickTop="1" x14ac:dyDescent="0.15">
      <c r="B44" s="55">
        <v>6</v>
      </c>
      <c r="C44" s="56" t="str">
        <f t="shared" ref="C44:C49" si="2">+C37</f>
        <v>Lundi</v>
      </c>
      <c r="D44" s="151"/>
      <c r="E44" s="151"/>
      <c r="F44" s="151"/>
      <c r="G44" s="151"/>
      <c r="H44" s="151">
        <v>44347</v>
      </c>
      <c r="I44" s="151"/>
      <c r="J44" s="137"/>
      <c r="K44" s="151">
        <v>44438</v>
      </c>
      <c r="L44" s="151"/>
      <c r="M44" s="151"/>
      <c r="N44" s="151"/>
      <c r="O44" s="152"/>
    </row>
    <row r="45" spans="2:15" ht="14" x14ac:dyDescent="0.15">
      <c r="B45" s="48"/>
      <c r="C45" s="49" t="str">
        <f t="shared" si="2"/>
        <v>Mardi</v>
      </c>
      <c r="D45" s="146"/>
      <c r="E45" s="146"/>
      <c r="F45" s="153"/>
      <c r="G45" s="146"/>
      <c r="H45" s="146"/>
      <c r="I45" s="146"/>
      <c r="J45" s="146"/>
      <c r="K45" s="146">
        <v>44439</v>
      </c>
      <c r="L45" s="153"/>
      <c r="M45" s="154"/>
      <c r="N45" s="146"/>
      <c r="O45" s="155"/>
    </row>
    <row r="46" spans="2:15" ht="14" x14ac:dyDescent="0.15">
      <c r="B46" s="48"/>
      <c r="C46" s="49" t="str">
        <f t="shared" si="2"/>
        <v>Mercredi</v>
      </c>
      <c r="D46" s="146"/>
      <c r="E46" s="146"/>
      <c r="F46" s="146"/>
      <c r="G46" s="146"/>
      <c r="H46" s="146"/>
      <c r="I46" s="146"/>
      <c r="J46" s="146"/>
      <c r="K46" s="146"/>
      <c r="L46" s="146"/>
      <c r="M46" s="146"/>
      <c r="N46" s="146"/>
      <c r="O46" s="147"/>
    </row>
    <row r="47" spans="2:15" ht="14" x14ac:dyDescent="0.15">
      <c r="B47" s="48"/>
      <c r="C47" s="49" t="str">
        <f t="shared" si="2"/>
        <v>Jeudi</v>
      </c>
      <c r="D47" s="146"/>
      <c r="E47" s="146"/>
      <c r="F47" s="146"/>
      <c r="G47" s="146"/>
      <c r="H47" s="146"/>
      <c r="I47" s="146"/>
      <c r="J47" s="146"/>
      <c r="K47" s="146"/>
      <c r="L47" s="146"/>
      <c r="M47" s="146"/>
      <c r="N47" s="146"/>
      <c r="O47" s="147"/>
    </row>
    <row r="48" spans="2:15" ht="14" x14ac:dyDescent="0.15">
      <c r="B48" s="48"/>
      <c r="C48" s="49" t="str">
        <f t="shared" si="2"/>
        <v>Vendredi</v>
      </c>
      <c r="D48" s="146"/>
      <c r="E48" s="146"/>
      <c r="F48" s="146"/>
      <c r="G48" s="146"/>
      <c r="H48" s="146"/>
      <c r="I48" s="146"/>
      <c r="J48" s="146"/>
      <c r="K48" s="146"/>
      <c r="L48" s="146"/>
      <c r="M48" s="146"/>
      <c r="N48" s="146"/>
      <c r="O48" s="147"/>
    </row>
    <row r="49" spans="2:15" x14ac:dyDescent="0.15">
      <c r="B49" s="52"/>
      <c r="C49" s="53" t="str">
        <f t="shared" si="2"/>
        <v>Samedi</v>
      </c>
      <c r="D49" s="148"/>
      <c r="E49" s="146"/>
      <c r="F49" s="146"/>
      <c r="G49" s="148"/>
      <c r="H49" s="148"/>
      <c r="I49" s="148"/>
      <c r="J49" s="148"/>
      <c r="K49" s="148"/>
      <c r="L49" s="148"/>
      <c r="M49" s="148"/>
      <c r="N49" s="148"/>
      <c r="O49" s="156"/>
    </row>
    <row r="50" spans="2:15" ht="14" thickBot="1" x14ac:dyDescent="0.2">
      <c r="B50" s="54" t="s">
        <v>2</v>
      </c>
      <c r="C50" s="45" t="str">
        <f>+C43</f>
        <v>Dimanche</v>
      </c>
      <c r="D50" s="140"/>
      <c r="E50" s="140"/>
      <c r="F50" s="149"/>
      <c r="G50" s="140"/>
      <c r="H50" s="140"/>
      <c r="I50" s="140"/>
      <c r="J50" s="140"/>
      <c r="K50" s="140"/>
      <c r="L50" s="140"/>
      <c r="M50" s="140"/>
      <c r="N50" s="140"/>
      <c r="O50" s="157"/>
    </row>
    <row r="51" spans="2:15" ht="14" thickTop="1" x14ac:dyDescent="0.15">
      <c r="C51" s="57"/>
    </row>
    <row r="52" spans="2:15" x14ac:dyDescent="0.15">
      <c r="B52" s="58" t="s">
        <v>2</v>
      </c>
    </row>
    <row r="53" spans="2:15" x14ac:dyDescent="0.15">
      <c r="B53" s="58" t="s">
        <v>2</v>
      </c>
    </row>
    <row r="54" spans="2:15" x14ac:dyDescent="0.15">
      <c r="B54" s="58" t="s">
        <v>2</v>
      </c>
    </row>
  </sheetData>
  <sheetProtection algorithmName="SHA-512" hashValue="QBU9e3bb8tgeeL/rdJ+rF7CL0LA8y7hk5WYAtHsgB5ZEmuZVMsL2zqABMSE+fxcE6yyGYso4fq+CeiJJH+Fm/Q==" saltValue="RsGSyNivvund42k6QoJdPw==" spinCount="100000" sheet="1" objects="1" scenarios="1"/>
  <mergeCells count="5">
    <mergeCell ref="B2:O2"/>
    <mergeCell ref="B3:O3"/>
    <mergeCell ref="B7:C7"/>
    <mergeCell ref="B8:C8"/>
    <mergeCell ref="B4:O4"/>
  </mergeCells>
  <phoneticPr fontId="47" type="noConversion"/>
  <pageMargins left="0.75" right="0.75" top="1" bottom="1" header="0.4921259845" footer="0.492125984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8D339-7F2C-4446-AA6B-D9D099419334}">
  <sheetPr>
    <tabColor theme="1"/>
    <pageSetUpPr fitToPage="1"/>
  </sheetPr>
  <dimension ref="B1:BQ53"/>
  <sheetViews>
    <sheetView zoomScale="125" zoomScaleNormal="125" zoomScalePageLayoutView="125" workbookViewId="0">
      <selection activeCell="C38" sqref="C38"/>
    </sheetView>
  </sheetViews>
  <sheetFormatPr baseColWidth="10" defaultRowHeight="13" x14ac:dyDescent="0.15"/>
  <cols>
    <col min="1" max="1" width="2.1640625" style="161" customWidth="1"/>
    <col min="2" max="2" width="5.1640625" style="161" customWidth="1"/>
    <col min="3" max="3" width="48.332031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9.5" style="161" bestFit="1" customWidth="1"/>
    <col min="34" max="34" width="0.83203125" style="161" customWidth="1"/>
    <col min="35" max="35" width="14.33203125" style="161" customWidth="1"/>
    <col min="36" max="36" width="9.5" style="161" bestFit="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1430" t="str">
        <f>'État des Résultats'!C2</f>
        <v>Les Multiples Plaisirs gourmands</v>
      </c>
      <c r="C2" s="1431"/>
      <c r="AS2" s="1388" t="s">
        <v>42</v>
      </c>
      <c r="AT2" s="366"/>
      <c r="AU2" s="366"/>
      <c r="AV2" s="366"/>
      <c r="AW2" s="366"/>
      <c r="AX2" s="366"/>
      <c r="AY2" s="366"/>
      <c r="AZ2" s="366"/>
      <c r="BA2" s="366"/>
      <c r="BB2" s="366"/>
      <c r="BC2" s="1391" t="s">
        <v>43</v>
      </c>
    </row>
    <row r="3" spans="2:56" ht="20" customHeight="1" x14ac:dyDescent="0.2">
      <c r="B3" s="1432" t="str">
        <f>'État des Résultats'!C3</f>
        <v xml:space="preserve">États des résultats </v>
      </c>
      <c r="C3" s="1433"/>
      <c r="AS3" s="1389"/>
      <c r="AT3" s="367"/>
      <c r="AU3" s="367"/>
      <c r="AV3" s="367"/>
      <c r="AW3" s="367"/>
      <c r="AX3" s="367"/>
      <c r="AY3" s="367"/>
      <c r="AZ3" s="367"/>
      <c r="BA3" s="367"/>
      <c r="BB3" s="367"/>
      <c r="BC3" s="1392"/>
    </row>
    <row r="4" spans="2:56" ht="22" thickBot="1" x14ac:dyDescent="0.3">
      <c r="B4" s="1434" t="str">
        <f>'État des Résultats'!C4</f>
        <v>Pour la période du 1er janvier 2021 au 31 décembre 2021</v>
      </c>
      <c r="C4" s="1435"/>
      <c r="AS4" s="1389"/>
      <c r="AT4" s="368" t="str">
        <f>'Formule pour le calcul D'!BA103</f>
        <v>Coût annuel</v>
      </c>
      <c r="AU4" s="368" t="s">
        <v>44</v>
      </c>
      <c r="AV4" s="368" t="str">
        <f>'Formule pour le calcul D'!BC103</f>
        <v>Achalandage annuelle</v>
      </c>
      <c r="AW4" s="368" t="s">
        <v>45</v>
      </c>
      <c r="AX4" s="368" t="s">
        <v>46</v>
      </c>
      <c r="AY4" s="368" t="str">
        <f>'Formule pour le calcul D'!BF103</f>
        <v>Um/A</v>
      </c>
      <c r="AZ4" s="368" t="s">
        <v>45</v>
      </c>
      <c r="BA4" s="368" t="str">
        <f>'Formule pour le calcul D'!BH103</f>
        <v>CmO</v>
      </c>
      <c r="BB4" s="368" t="s">
        <v>49</v>
      </c>
      <c r="BC4" s="1392"/>
    </row>
    <row r="5" spans="2:56" ht="21" thickTop="1" thickBot="1" x14ac:dyDescent="0.3">
      <c r="AS5" s="1389"/>
      <c r="AT5" s="369" t="s">
        <v>2</v>
      </c>
      <c r="AU5" s="370"/>
      <c r="AV5" s="369"/>
      <c r="AW5" s="370"/>
      <c r="AX5" s="370"/>
      <c r="AY5" s="370"/>
      <c r="AZ5" s="370"/>
      <c r="BA5" s="370"/>
      <c r="BB5" s="370"/>
      <c r="BC5" s="1392"/>
    </row>
    <row r="6" spans="2:56" ht="27" thickTop="1" x14ac:dyDescent="0.3">
      <c r="B6" s="1406" t="str">
        <f>'État des Résultats'!C6</f>
        <v>Nb de places</v>
      </c>
      <c r="C6" s="1436"/>
      <c r="E6" s="637" t="str">
        <f>'Coût marchandises vendues'!D6</f>
        <v>Coût / place / jour</v>
      </c>
      <c r="F6" s="638">
        <f>+E34/$B$7/'Calendrier 2021'!D8</f>
        <v>2.5660931899641573</v>
      </c>
      <c r="G6" s="170"/>
      <c r="H6" s="637" t="str">
        <f>+E6</f>
        <v>Coût / place / jour</v>
      </c>
      <c r="I6" s="638">
        <f>+H34/$B$7/'Calendrier 2021'!E8</f>
        <v>2.8009871031746028</v>
      </c>
      <c r="J6" s="170"/>
      <c r="K6" s="637" t="str">
        <f>+H6</f>
        <v>Coût / place / jour</v>
      </c>
      <c r="L6" s="638">
        <f>+K34/$B$7/'Calendrier 2021'!F8</f>
        <v>2.6603808243727602</v>
      </c>
      <c r="M6" s="170"/>
      <c r="N6" s="637" t="str">
        <f>+K6</f>
        <v>Coût / place / jour</v>
      </c>
      <c r="O6" s="638">
        <f>+N34/$B$7/'Calendrier 2021'!G8</f>
        <v>2.8141521435185184</v>
      </c>
      <c r="P6" s="422"/>
      <c r="Q6" s="637" t="str">
        <f>+N6</f>
        <v>Coût / place / jour</v>
      </c>
      <c r="R6" s="638">
        <f>+Q34/$B$7/'Calendrier 2021'!H8</f>
        <v>2.825680286738351</v>
      </c>
      <c r="S6" s="422"/>
      <c r="T6" s="637" t="str">
        <f>+Q6</f>
        <v>Coût / place / jour</v>
      </c>
      <c r="U6" s="638">
        <f>+T34/$B$7/'Calendrier 2021'!I8</f>
        <v>2.9609635740740736</v>
      </c>
      <c r="V6" s="170"/>
      <c r="W6" s="637" t="str">
        <f>+T6</f>
        <v>Coût / place / jour</v>
      </c>
      <c r="X6" s="638">
        <f>+W34/$B$7/'Calendrier 2021'!J8</f>
        <v>2.974884937275986</v>
      </c>
      <c r="Y6" s="170"/>
      <c r="Z6" s="637" t="str">
        <f>+W6</f>
        <v>Coût / place / jour</v>
      </c>
      <c r="AA6" s="638">
        <f>+Z34/$B$7/'Calendrier 2021'!K8</f>
        <v>2.9958188888888886</v>
      </c>
      <c r="AB6" s="170"/>
      <c r="AC6" s="637" t="str">
        <f>+Z6</f>
        <v>Coût / place / jour</v>
      </c>
      <c r="AD6" s="638">
        <f>+AC34/$B$7/'Calendrier 2021'!L8</f>
        <v>2.9535280185185182</v>
      </c>
      <c r="AE6" s="170"/>
      <c r="AF6" s="637" t="str">
        <f>+AC6</f>
        <v>Coût / place / jour</v>
      </c>
      <c r="AG6" s="638">
        <f>+AF34/$B$7/'Calendrier 2021'!M8</f>
        <v>2.9108023028673835</v>
      </c>
      <c r="AH6" s="170"/>
      <c r="AI6" s="637" t="str">
        <f>+AF6</f>
        <v>Coût / place / jour</v>
      </c>
      <c r="AJ6" s="638">
        <f>+AI34/$B$7/'Calendrier 2021'!N8</f>
        <v>2.8969693796296294</v>
      </c>
      <c r="AK6" s="170"/>
      <c r="AL6" s="637" t="str">
        <f>+AI6</f>
        <v>Coût / place / jour</v>
      </c>
      <c r="AM6" s="638">
        <f>+AL34/$B$7/'Calendrier 2021'!O8</f>
        <v>2.9610055017921146</v>
      </c>
      <c r="AN6" s="170"/>
      <c r="AO6" s="170"/>
      <c r="AP6" s="639" t="str">
        <f>+AL6</f>
        <v>Coût / place / jour</v>
      </c>
      <c r="AQ6" s="640">
        <f>+AP34/$B$7/'% Occupation'!P9</f>
        <v>2.8600840445205482</v>
      </c>
      <c r="AS6" s="1389"/>
      <c r="AT6" s="629" t="str">
        <f>'Formule pour le calcul D'!BA105</f>
        <v xml:space="preserve">C </v>
      </c>
      <c r="AU6" s="372"/>
      <c r="AV6" s="371" t="str">
        <f>'Formule pour le calcul D'!BC105</f>
        <v>A</v>
      </c>
      <c r="AW6" s="372"/>
      <c r="AX6" s="372"/>
      <c r="AY6" s="371" t="str">
        <f>AY4</f>
        <v>Um/A</v>
      </c>
      <c r="AZ6" s="372"/>
      <c r="BA6" s="371" t="str">
        <f>BA4</f>
        <v>CmO</v>
      </c>
      <c r="BB6" s="372"/>
      <c r="BC6" s="1392"/>
    </row>
    <row r="7" spans="2:56" ht="21" x14ac:dyDescent="0.25">
      <c r="B7" s="1438">
        <f>'État des Résultats'!C7</f>
        <v>30</v>
      </c>
      <c r="C7" s="1437"/>
      <c r="E7" s="424">
        <f>+E34/$AP34</f>
        <v>7.6201313649143634E-2</v>
      </c>
      <c r="F7" s="641"/>
      <c r="H7" s="424">
        <f>+H34/$AP34</f>
        <v>7.5127248076104117E-2</v>
      </c>
      <c r="I7" s="641"/>
      <c r="K7" s="424">
        <f>+K34/$AP34</f>
        <v>7.9001228177152688E-2</v>
      </c>
      <c r="L7" s="425"/>
      <c r="N7" s="424">
        <f>+N34/$AP34</f>
        <v>8.0871810960498669E-2</v>
      </c>
      <c r="O7" s="425"/>
      <c r="P7" s="642"/>
      <c r="Q7" s="424">
        <f>+Q34/$AP34</f>
        <v>8.3909871490270696E-2</v>
      </c>
      <c r="R7" s="425"/>
      <c r="S7" s="642"/>
      <c r="T7" s="424">
        <f>+T34/$AP34</f>
        <v>8.5090810379586462E-2</v>
      </c>
      <c r="U7" s="425"/>
      <c r="W7" s="424">
        <f>+W34/$AP34</f>
        <v>8.8340571987818875E-2</v>
      </c>
      <c r="X7" s="425"/>
      <c r="Z7" s="424">
        <f>+Z34/$AP34</f>
        <v>8.8962215277707757E-2</v>
      </c>
      <c r="AA7" s="425"/>
      <c r="AC7" s="424">
        <f>+AC34/$AP34</f>
        <v>8.4877130801294956E-2</v>
      </c>
      <c r="AD7" s="425"/>
      <c r="AF7" s="424">
        <f>+AF34/$AP34</f>
        <v>8.6437608781676889E-2</v>
      </c>
      <c r="AG7" s="425"/>
      <c r="AI7" s="424">
        <f>+AI34/$AP34</f>
        <v>8.3251774630364386E-2</v>
      </c>
      <c r="AJ7" s="425"/>
      <c r="AL7" s="424">
        <f>+AL34/$AP34</f>
        <v>8.7928415788380815E-2</v>
      </c>
      <c r="AM7" s="425"/>
      <c r="AP7" s="643">
        <f>+AP34/$AP34</f>
        <v>1</v>
      </c>
      <c r="AQ7" s="644" t="s">
        <v>136</v>
      </c>
      <c r="AS7" s="1389"/>
      <c r="AT7" s="630">
        <f>AP34</f>
        <v>31317.920287500001</v>
      </c>
      <c r="AU7" s="368" t="s">
        <v>44</v>
      </c>
      <c r="AV7" s="631">
        <f>'Formule pour le calcul D'!G114</f>
        <v>52000</v>
      </c>
      <c r="AW7" s="368" t="s">
        <v>45</v>
      </c>
      <c r="AX7" s="368" t="s">
        <v>46</v>
      </c>
      <c r="AY7" s="632">
        <f>'Formule pour le calcul D'!J106</f>
        <v>3.1499999999999995</v>
      </c>
      <c r="AZ7" s="368" t="s">
        <v>45</v>
      </c>
      <c r="BA7" s="633">
        <f>AT7/AV7/AY7</f>
        <v>0.19119609455128209</v>
      </c>
      <c r="BB7" s="368" t="s">
        <v>49</v>
      </c>
      <c r="BC7" s="1392"/>
    </row>
    <row r="8" spans="2:56" ht="17" thickBot="1" x14ac:dyDescent="0.25">
      <c r="B8" s="1410" t="s">
        <v>260</v>
      </c>
      <c r="C8" s="1437"/>
      <c r="E8" s="646" t="str">
        <f>'État des Résultats'!E8</f>
        <v>Pér.01</v>
      </c>
      <c r="F8" s="645" t="str">
        <f>'État des Résultats'!F8</f>
        <v>(%)</v>
      </c>
      <c r="G8" s="382"/>
      <c r="H8" s="646" t="str">
        <f>'État des Résultats'!H8</f>
        <v>Pér.02</v>
      </c>
      <c r="I8" s="645" t="str">
        <f>F8</f>
        <v>(%)</v>
      </c>
      <c r="J8" s="382"/>
      <c r="K8" s="646" t="str">
        <f>'État des Résultats'!K8</f>
        <v>Pér.03</v>
      </c>
      <c r="L8" s="645" t="str">
        <f>I8</f>
        <v>(%)</v>
      </c>
      <c r="M8" s="382"/>
      <c r="N8" s="646" t="str">
        <f>'État des Résultats'!N8</f>
        <v>Pér.04</v>
      </c>
      <c r="O8" s="645" t="str">
        <f>L8</f>
        <v>(%)</v>
      </c>
      <c r="P8" s="426"/>
      <c r="Q8" s="646" t="str">
        <f>'État des Résultats'!Q8</f>
        <v>Pér.05</v>
      </c>
      <c r="R8" s="645" t="str">
        <f>O8</f>
        <v>(%)</v>
      </c>
      <c r="S8" s="426"/>
      <c r="T8" s="646" t="str">
        <f>'État des Résultats'!T8</f>
        <v>Pér.06</v>
      </c>
      <c r="U8" s="645" t="str">
        <f>R8</f>
        <v>(%)</v>
      </c>
      <c r="V8" s="382"/>
      <c r="W8" s="646" t="str">
        <f>'État des Résultats'!W8</f>
        <v>Pér.07</v>
      </c>
      <c r="X8" s="645" t="str">
        <f>U8</f>
        <v>(%)</v>
      </c>
      <c r="Y8" s="382"/>
      <c r="Z8" s="646" t="str">
        <f>'État des Résultats'!Z8</f>
        <v>Pér.08</v>
      </c>
      <c r="AA8" s="645" t="str">
        <f>X8</f>
        <v>(%)</v>
      </c>
      <c r="AB8" s="382"/>
      <c r="AC8" s="646" t="str">
        <f>'État des Résultats'!AC8</f>
        <v>Pér.09</v>
      </c>
      <c r="AD8" s="645" t="str">
        <f>AA8</f>
        <v>(%)</v>
      </c>
      <c r="AE8" s="382"/>
      <c r="AF8" s="646" t="str">
        <f>'État des Résultats'!AF8</f>
        <v>Pér.10</v>
      </c>
      <c r="AG8" s="645" t="str">
        <f>AD8</f>
        <v>(%)</v>
      </c>
      <c r="AH8" s="382"/>
      <c r="AI8" s="646" t="str">
        <f>'État des Résultats'!AI8</f>
        <v>Pér.11</v>
      </c>
      <c r="AJ8" s="645" t="str">
        <f>AG8</f>
        <v>(%)</v>
      </c>
      <c r="AK8" s="382"/>
      <c r="AL8" s="646" t="str">
        <f>'État des Résultats'!AL8</f>
        <v>Pér.12</v>
      </c>
      <c r="AM8" s="645" t="str">
        <f>AJ8</f>
        <v>(%)</v>
      </c>
      <c r="AN8" s="647" t="s">
        <v>2</v>
      </c>
      <c r="AO8" s="382"/>
      <c r="AP8" s="648" t="str">
        <f>'État des Résultats'!AP8</f>
        <v>Total</v>
      </c>
      <c r="AQ8" s="645" t="str">
        <f>AM8</f>
        <v>(%)</v>
      </c>
      <c r="AS8" s="1390"/>
      <c r="AT8" s="373"/>
      <c r="AU8" s="373"/>
      <c r="AV8" s="373"/>
      <c r="AW8" s="373"/>
      <c r="AX8" s="373"/>
      <c r="AY8" s="373"/>
      <c r="AZ8" s="373"/>
      <c r="BA8" s="373"/>
      <c r="BB8" s="373"/>
      <c r="BC8" s="1393"/>
    </row>
    <row r="9" spans="2:56" ht="15" thickTop="1" thickBot="1" x14ac:dyDescent="0.2">
      <c r="B9" s="1394">
        <f>AP34/$B$7</f>
        <v>1043.93067625</v>
      </c>
      <c r="C9" s="1429"/>
      <c r="E9" s="664" t="str">
        <f>'État des Résultats'!E9</f>
        <v>Janvier 2021</v>
      </c>
      <c r="F9" s="665"/>
      <c r="G9" s="292"/>
      <c r="H9" s="666" t="str">
        <f>'État des Résultats'!H9</f>
        <v>Février 2021</v>
      </c>
      <c r="I9" s="667"/>
      <c r="J9" s="292"/>
      <c r="K9" s="666" t="str">
        <f>'État des Résultats'!K9</f>
        <v>Mars 2021</v>
      </c>
      <c r="L9" s="667"/>
      <c r="M9" s="292"/>
      <c r="N9" s="664" t="str">
        <f>'État des Résultats'!N9</f>
        <v>Avril 2021</v>
      </c>
      <c r="O9" s="665"/>
      <c r="P9" s="668"/>
      <c r="Q9" s="664" t="str">
        <f>'État des Résultats'!Q9</f>
        <v>Mai 2021</v>
      </c>
      <c r="R9" s="665"/>
      <c r="S9" s="668"/>
      <c r="T9" s="666" t="str">
        <f>'État des Résultats'!T9</f>
        <v>Juin 2021</v>
      </c>
      <c r="U9" s="667"/>
      <c r="V9" s="292"/>
      <c r="W9" s="666" t="str">
        <f>'État des Résultats'!W9</f>
        <v>Juillet 2021</v>
      </c>
      <c r="X9" s="667"/>
      <c r="Y9" s="292"/>
      <c r="Z9" s="666" t="str">
        <f>'État des Résultats'!Z9</f>
        <v>Août 2021</v>
      </c>
      <c r="AA9" s="667"/>
      <c r="AB9" s="292"/>
      <c r="AC9" s="666" t="str">
        <f>'État des Résultats'!AC9</f>
        <v>Septembre 2021</v>
      </c>
      <c r="AD9" s="667"/>
      <c r="AE9" s="292"/>
      <c r="AF9" s="666" t="str">
        <f>'État des Résultats'!AF9</f>
        <v>Octobre 2021</v>
      </c>
      <c r="AG9" s="667"/>
      <c r="AH9" s="292"/>
      <c r="AI9" s="666" t="str">
        <f>'État des Résultats'!AI9</f>
        <v>Novembre 2021</v>
      </c>
      <c r="AJ9" s="667"/>
      <c r="AK9" s="292"/>
      <c r="AL9" s="666" t="str">
        <f>'État des Résultats'!AL9</f>
        <v>Décembre 2021</v>
      </c>
      <c r="AM9" s="667"/>
      <c r="AN9" s="292"/>
      <c r="AO9" s="292"/>
      <c r="AP9" s="669" t="str">
        <f>'État des Résultats'!AP9</f>
        <v>Année</v>
      </c>
      <c r="AQ9" s="670"/>
      <c r="AR9" s="671"/>
      <c r="AS9" s="671"/>
      <c r="AT9" s="328"/>
      <c r="AU9" s="328"/>
      <c r="AV9" s="328"/>
      <c r="AW9" s="328"/>
      <c r="AX9" s="328"/>
      <c r="AY9" s="328"/>
      <c r="AZ9" s="649"/>
    </row>
    <row r="10" spans="2:56" ht="15" thickTop="1" thickBot="1" x14ac:dyDescent="0.2">
      <c r="D10" s="251"/>
      <c r="G10" s="388"/>
      <c r="J10" s="388"/>
      <c r="M10" s="388"/>
      <c r="P10" s="433"/>
      <c r="S10" s="433"/>
      <c r="V10" s="388"/>
      <c r="Y10" s="187"/>
      <c r="AB10" s="388"/>
      <c r="AE10" s="388"/>
      <c r="AH10" s="388"/>
      <c r="AK10" s="388"/>
      <c r="AN10" s="388"/>
      <c r="AO10" s="388"/>
      <c r="AR10" s="170"/>
      <c r="AS10" s="170"/>
      <c r="AT10" s="170"/>
    </row>
    <row r="11" spans="2:56" ht="20" customHeight="1" thickTop="1" x14ac:dyDescent="0.2">
      <c r="B11" s="650"/>
      <c r="C11" s="691" t="s">
        <v>261</v>
      </c>
      <c r="E11" s="650"/>
      <c r="F11" s="651"/>
      <c r="H11" s="650"/>
      <c r="I11" s="651"/>
      <c r="K11" s="650"/>
      <c r="L11" s="651"/>
      <c r="N11" s="650"/>
      <c r="O11" s="651"/>
      <c r="Q11" s="650"/>
      <c r="R11" s="651"/>
      <c r="T11" s="650"/>
      <c r="U11" s="651"/>
      <c r="W11" s="650"/>
      <c r="X11" s="651"/>
      <c r="Z11" s="650"/>
      <c r="AA11" s="651"/>
      <c r="AC11" s="650"/>
      <c r="AD11" s="651"/>
      <c r="AF11" s="650"/>
      <c r="AG11" s="651"/>
      <c r="AI11" s="650"/>
      <c r="AJ11" s="651"/>
      <c r="AL11" s="650"/>
      <c r="AM11" s="651"/>
      <c r="AP11" s="613"/>
      <c r="AQ11" s="615"/>
      <c r="AR11" s="187"/>
      <c r="AS11" s="187"/>
      <c r="AT11" s="187"/>
      <c r="AU11" s="187"/>
      <c r="AV11" s="187"/>
      <c r="AW11" s="187"/>
      <c r="AX11" s="187"/>
      <c r="AY11" s="187"/>
      <c r="AZ11" s="187"/>
      <c r="BA11" s="187"/>
      <c r="BB11" s="187"/>
      <c r="BC11" s="187"/>
      <c r="BD11" s="187"/>
    </row>
    <row r="12" spans="2:56" x14ac:dyDescent="0.15">
      <c r="B12" s="190"/>
      <c r="C12" s="652"/>
      <c r="E12" s="190"/>
      <c r="F12" s="391"/>
      <c r="H12" s="190"/>
      <c r="I12" s="391"/>
      <c r="K12" s="190"/>
      <c r="L12" s="391"/>
      <c r="N12" s="190"/>
      <c r="O12" s="391"/>
      <c r="Q12" s="190"/>
      <c r="R12" s="391"/>
      <c r="T12" s="190"/>
      <c r="U12" s="391"/>
      <c r="W12" s="190"/>
      <c r="X12" s="391"/>
      <c r="Z12" s="190"/>
      <c r="AA12" s="391"/>
      <c r="AC12" s="190"/>
      <c r="AD12" s="391"/>
      <c r="AF12" s="190"/>
      <c r="AG12" s="391"/>
      <c r="AI12" s="190"/>
      <c r="AJ12" s="391"/>
      <c r="AL12" s="190"/>
      <c r="AM12" s="191"/>
      <c r="AP12" s="193"/>
      <c r="AQ12" s="494"/>
      <c r="AR12" s="187"/>
      <c r="AS12" s="187"/>
      <c r="AT12" s="187"/>
      <c r="AU12" s="187"/>
      <c r="AV12" s="187"/>
      <c r="AW12" s="187"/>
      <c r="AX12" s="187"/>
      <c r="AY12" s="187"/>
      <c r="AZ12" s="187"/>
      <c r="BA12" s="187"/>
      <c r="BB12" s="187"/>
      <c r="BC12" s="187"/>
      <c r="BD12" s="187"/>
    </row>
    <row r="13" spans="2:56" x14ac:dyDescent="0.15">
      <c r="B13" s="686">
        <v>7402</v>
      </c>
      <c r="C13" s="419" t="s">
        <v>262</v>
      </c>
      <c r="E13" s="793">
        <f>(0.5/100)*'État des Résultats'!E14</f>
        <v>364.93333333333334</v>
      </c>
      <c r="F13" s="654">
        <f>E13/'État des Résultats'!E$14</f>
        <v>5.0000000000000001E-3</v>
      </c>
      <c r="H13" s="793">
        <f>(0.5/100)*'État des Résultats'!H14</f>
        <v>353.72083333333336</v>
      </c>
      <c r="I13" s="654">
        <f>H13/'État des Résultats'!H$14</f>
        <v>5.0000000000000001E-3</v>
      </c>
      <c r="K13" s="793">
        <f>(0.5/100)*'État des Résultats'!K14</f>
        <v>394.16250000000002</v>
      </c>
      <c r="L13" s="654">
        <f>K13/'État des Résultats'!K$14</f>
        <v>5.0000000000000001E-3</v>
      </c>
      <c r="N13" s="793">
        <f>(0.5/100)*'État des Résultats'!N14</f>
        <v>413.6900875</v>
      </c>
      <c r="O13" s="654">
        <f>N13/'État des Résultats'!N$14</f>
        <v>5.0000000000000001E-3</v>
      </c>
      <c r="Q13" s="793">
        <f>(0.5/100)*'État des Résultats'!Q14</f>
        <v>445.40533333333332</v>
      </c>
      <c r="R13" s="654">
        <f>Q13/'État des Résultats'!Q$14</f>
        <v>5.0000000000000001E-3</v>
      </c>
      <c r="T13" s="793">
        <f>(0.5/100)*'État des Résultats'!T14</f>
        <v>457.73351666666667</v>
      </c>
      <c r="U13" s="654">
        <f>T13/'État des Résultats'!T$14</f>
        <v>5.0000000000000001E-3</v>
      </c>
      <c r="W13" s="793">
        <f>(0.5/100)*'État des Résultats'!W14</f>
        <v>491.65877500000011</v>
      </c>
      <c r="X13" s="654">
        <f>W13/'État des Résultats'!W$14</f>
        <v>5.0000000000000001E-3</v>
      </c>
      <c r="Z13" s="793">
        <f>(0.5/100)*'État des Résultats'!Z14</f>
        <v>498.14830000000001</v>
      </c>
      <c r="AA13" s="654">
        <f>Z13/'État des Résultats'!Z$14</f>
        <v>5.0000000000000001E-3</v>
      </c>
      <c r="AC13" s="793">
        <f>(0.5/100)*'État des Résultats'!AC14</f>
        <v>455.50285000000002</v>
      </c>
      <c r="AD13" s="654">
        <f>AC13/'État des Résultats'!AC$14</f>
        <v>5.0000000000000001E-3</v>
      </c>
      <c r="AF13" s="793">
        <f>(0.5/100)*'État des Résultats'!AF14</f>
        <v>471.79315833333339</v>
      </c>
      <c r="AG13" s="654">
        <f>AF13/'État des Résultats'!AF$14</f>
        <v>5.0000000000000001E-3</v>
      </c>
      <c r="AI13" s="793">
        <f>(0.5/100)*'État des Résultats'!AI14</f>
        <v>438.53525833333333</v>
      </c>
      <c r="AJ13" s="654">
        <f>AI13/'État des Résultats'!AI$14</f>
        <v>5.0000000000000001E-3</v>
      </c>
      <c r="AL13" s="793">
        <f>(0.5/100)*'État des Résultats'!AL14</f>
        <v>487.35615000000007</v>
      </c>
      <c r="AM13" s="654">
        <f>AL13/'État des Résultats'!AL$14</f>
        <v>5.0000000000000001E-3</v>
      </c>
      <c r="AP13" s="796">
        <f>SUM(+$AL13+$AI13+$AF13+$AC13+$Z13+$W13+$T13+$Q13+$N13+$K13+$H13+$E13)</f>
        <v>5272.6400958333343</v>
      </c>
      <c r="AQ13" s="656">
        <f>+AP13/'État des Résultats'!$AP$14</f>
        <v>5.0000000000000018E-3</v>
      </c>
    </row>
    <row r="14" spans="2:56" x14ac:dyDescent="0.15">
      <c r="B14" s="686">
        <v>7404</v>
      </c>
      <c r="C14" s="419" t="s">
        <v>263</v>
      </c>
      <c r="E14" s="797">
        <v>0</v>
      </c>
      <c r="F14" s="654">
        <f>E14/'État des Résultats'!E$14</f>
        <v>0</v>
      </c>
      <c r="H14" s="797">
        <v>0</v>
      </c>
      <c r="I14" s="654">
        <f>H14/'État des Résultats'!H$14</f>
        <v>0</v>
      </c>
      <c r="K14" s="797">
        <v>0</v>
      </c>
      <c r="L14" s="654">
        <f>K14/'État des Résultats'!K$14</f>
        <v>0</v>
      </c>
      <c r="N14" s="797">
        <v>0</v>
      </c>
      <c r="O14" s="654">
        <f>N14/'État des Résultats'!N$14</f>
        <v>0</v>
      </c>
      <c r="Q14" s="797">
        <v>0</v>
      </c>
      <c r="R14" s="654">
        <f>Q14/'État des Résultats'!Q$14</f>
        <v>0</v>
      </c>
      <c r="T14" s="797">
        <v>0</v>
      </c>
      <c r="U14" s="654">
        <f>T14/'État des Résultats'!T$14</f>
        <v>0</v>
      </c>
      <c r="W14" s="797">
        <v>0</v>
      </c>
      <c r="X14" s="654">
        <f>W14/'État des Résultats'!W$14</f>
        <v>0</v>
      </c>
      <c r="Z14" s="797">
        <v>0</v>
      </c>
      <c r="AA14" s="654">
        <f>Z14/'État des Résultats'!Z$14</f>
        <v>0</v>
      </c>
      <c r="AC14" s="797">
        <v>0</v>
      </c>
      <c r="AD14" s="654">
        <f>AC14/'État des Résultats'!AC$14</f>
        <v>0</v>
      </c>
      <c r="AF14" s="797">
        <v>0</v>
      </c>
      <c r="AG14" s="654">
        <f>AF14/'État des Résultats'!AF$14</f>
        <v>0</v>
      </c>
      <c r="AI14" s="797">
        <v>0</v>
      </c>
      <c r="AJ14" s="654">
        <f>AI14/'État des Résultats'!AI$14</f>
        <v>0</v>
      </c>
      <c r="AL14" s="797">
        <v>0</v>
      </c>
      <c r="AM14" s="654">
        <f>AL14/'État des Résultats'!AL$14</f>
        <v>0</v>
      </c>
      <c r="AP14" s="796">
        <f>SUM(+$AL14+$AI14+$AF14+$AC14+$Z14+$W14+$T14+$Q14+$N14+$K14+$H14+$E14)</f>
        <v>0</v>
      </c>
      <c r="AQ14" s="656">
        <f>+AP14/'État des Résultats'!$AP$14</f>
        <v>0</v>
      </c>
    </row>
    <row r="15" spans="2:56" x14ac:dyDescent="0.15">
      <c r="B15" s="653">
        <v>7406</v>
      </c>
      <c r="C15" s="391" t="s">
        <v>264</v>
      </c>
      <c r="E15" s="793">
        <v>0</v>
      </c>
      <c r="F15" s="654">
        <f>E15/'État des Résultats'!E$14</f>
        <v>0</v>
      </c>
      <c r="G15" s="658" t="s">
        <v>2</v>
      </c>
      <c r="H15" s="793">
        <v>0</v>
      </c>
      <c r="I15" s="654">
        <f>H15/'État des Résultats'!H$14</f>
        <v>0</v>
      </c>
      <c r="K15" s="793">
        <v>0</v>
      </c>
      <c r="L15" s="654">
        <f>K15/'État des Résultats'!K$14</f>
        <v>0</v>
      </c>
      <c r="N15" s="793">
        <v>0</v>
      </c>
      <c r="O15" s="654">
        <f>N15/'État des Résultats'!N$14</f>
        <v>0</v>
      </c>
      <c r="Q15" s="793">
        <v>0</v>
      </c>
      <c r="R15" s="654">
        <f>Q15/'État des Résultats'!Q$14</f>
        <v>0</v>
      </c>
      <c r="T15" s="793">
        <v>0</v>
      </c>
      <c r="U15" s="654">
        <f>T15/'État des Résultats'!T$14</f>
        <v>0</v>
      </c>
      <c r="W15" s="793">
        <v>0</v>
      </c>
      <c r="X15" s="654">
        <f>W15/'État des Résultats'!W$14</f>
        <v>0</v>
      </c>
      <c r="Z15" s="793">
        <v>0</v>
      </c>
      <c r="AA15" s="654">
        <f>Z15/'État des Résultats'!Z$14</f>
        <v>0</v>
      </c>
      <c r="AC15" s="793">
        <v>0</v>
      </c>
      <c r="AD15" s="654">
        <f>AC15/'État des Résultats'!AC$14</f>
        <v>0</v>
      </c>
      <c r="AF15" s="793">
        <v>0</v>
      </c>
      <c r="AG15" s="654">
        <f>AF15/'État des Résultats'!AF$14</f>
        <v>0</v>
      </c>
      <c r="AI15" s="793">
        <v>0</v>
      </c>
      <c r="AJ15" s="654">
        <f>AI15/'État des Résultats'!AI$14</f>
        <v>0</v>
      </c>
      <c r="AL15" s="793">
        <v>0</v>
      </c>
      <c r="AM15" s="654">
        <f>AL15/'État des Résultats'!AL$14</f>
        <v>0</v>
      </c>
      <c r="AP15" s="796">
        <f t="shared" ref="AP15:AP32" si="0">SUM(+$AL15+$AI15+$AF15+$AC15+$Z15+$W15+$T15+$Q15+$N15+$K15+$H15+$E15)</f>
        <v>0</v>
      </c>
      <c r="AQ15" s="656">
        <f>+AP15/'État des Résultats'!$AP$14</f>
        <v>0</v>
      </c>
    </row>
    <row r="16" spans="2:56" x14ac:dyDescent="0.15">
      <c r="B16" s="653">
        <v>7408</v>
      </c>
      <c r="C16" s="391" t="s">
        <v>265</v>
      </c>
      <c r="E16" s="793">
        <v>0</v>
      </c>
      <c r="F16" s="654">
        <f>E16/'État des Résultats'!E$14</f>
        <v>0</v>
      </c>
      <c r="H16" s="793">
        <v>0</v>
      </c>
      <c r="I16" s="654">
        <f>H16/'État des Résultats'!H$14</f>
        <v>0</v>
      </c>
      <c r="K16" s="793">
        <v>0</v>
      </c>
      <c r="L16" s="654">
        <f>K16/'État des Résultats'!K$14</f>
        <v>0</v>
      </c>
      <c r="N16" s="793">
        <v>0</v>
      </c>
      <c r="O16" s="654">
        <f>N16/'État des Résultats'!N$14</f>
        <v>0</v>
      </c>
      <c r="Q16" s="793">
        <v>0</v>
      </c>
      <c r="R16" s="654">
        <f>Q16/'État des Résultats'!Q$14</f>
        <v>0</v>
      </c>
      <c r="T16" s="793">
        <v>0</v>
      </c>
      <c r="U16" s="654">
        <f>T16/'État des Résultats'!T$14</f>
        <v>0</v>
      </c>
      <c r="W16" s="793">
        <v>0</v>
      </c>
      <c r="X16" s="654">
        <f>W16/'État des Résultats'!W$14</f>
        <v>0</v>
      </c>
      <c r="Z16" s="793">
        <v>0</v>
      </c>
      <c r="AA16" s="654">
        <f>Z16/'État des Résultats'!Z$14</f>
        <v>0</v>
      </c>
      <c r="AC16" s="793">
        <v>0</v>
      </c>
      <c r="AD16" s="654">
        <f>AC16/'État des Résultats'!AC$14</f>
        <v>0</v>
      </c>
      <c r="AF16" s="793">
        <v>0</v>
      </c>
      <c r="AG16" s="654">
        <f>AF16/'État des Résultats'!AF$14</f>
        <v>0</v>
      </c>
      <c r="AI16" s="793">
        <v>0</v>
      </c>
      <c r="AJ16" s="654">
        <f>AI16/'État des Résultats'!AI$14</f>
        <v>0</v>
      </c>
      <c r="AL16" s="793">
        <v>0</v>
      </c>
      <c r="AM16" s="654">
        <f>AL16/'État des Résultats'!AL$14</f>
        <v>0</v>
      </c>
      <c r="AP16" s="796">
        <f t="shared" si="0"/>
        <v>0</v>
      </c>
      <c r="AQ16" s="656">
        <f>+AP16/'État des Résultats'!$AP$14</f>
        <v>0</v>
      </c>
    </row>
    <row r="17" spans="2:45" x14ac:dyDescent="0.15">
      <c r="B17" s="653">
        <v>7410</v>
      </c>
      <c r="C17" s="391" t="s">
        <v>266</v>
      </c>
      <c r="E17" s="793">
        <f>0.01*'État des Résultats'!E14</f>
        <v>729.86666666666667</v>
      </c>
      <c r="F17" s="654">
        <f>E17/'État des Résultats'!E$14</f>
        <v>0.01</v>
      </c>
      <c r="H17" s="793">
        <f>0.01*'État des Résultats'!H14</f>
        <v>707.44166666666672</v>
      </c>
      <c r="I17" s="654">
        <f>H17/'État des Résultats'!H$14</f>
        <v>0.01</v>
      </c>
      <c r="K17" s="793">
        <f>0.01*'État des Résultats'!K14</f>
        <v>788.32500000000005</v>
      </c>
      <c r="L17" s="654">
        <f>K17/'État des Résultats'!K$14</f>
        <v>0.01</v>
      </c>
      <c r="N17" s="793">
        <f>0.01*'État des Résultats'!N14</f>
        <v>827.38017500000001</v>
      </c>
      <c r="O17" s="654">
        <f>N17/'État des Résultats'!N$14</f>
        <v>0.01</v>
      </c>
      <c r="Q17" s="793">
        <f>0.01*'État des Résultats'!Q14</f>
        <v>890.81066666666663</v>
      </c>
      <c r="R17" s="654">
        <f>Q17/'État des Résultats'!Q$14</f>
        <v>0.01</v>
      </c>
      <c r="T17" s="793">
        <f>0.01*'État des Résultats'!T14</f>
        <v>915.46703333333335</v>
      </c>
      <c r="U17" s="654">
        <f>T17/'État des Résultats'!T$14</f>
        <v>0.01</v>
      </c>
      <c r="W17" s="793">
        <f>0.01*'État des Résultats'!W14</f>
        <v>983.31755000000021</v>
      </c>
      <c r="X17" s="654">
        <f>W17/'État des Résultats'!W$14</f>
        <v>0.01</v>
      </c>
      <c r="Z17" s="793">
        <f>0.01*'État des Résultats'!Z14</f>
        <v>996.29660000000001</v>
      </c>
      <c r="AA17" s="654">
        <f>Z17/'État des Résultats'!Z$14</f>
        <v>0.01</v>
      </c>
      <c r="AC17" s="793">
        <f>0.01*'État des Résultats'!AC14</f>
        <v>911.00570000000005</v>
      </c>
      <c r="AD17" s="654">
        <f>AC17/'État des Résultats'!AC$14</f>
        <v>0.01</v>
      </c>
      <c r="AF17" s="793">
        <f>0.01*'État des Résultats'!AF14</f>
        <v>943.58631666666679</v>
      </c>
      <c r="AG17" s="654">
        <f>AF17/'État des Résultats'!AF$14</f>
        <v>0.01</v>
      </c>
      <c r="AI17" s="793">
        <f>0.01*'État des Résultats'!AI14</f>
        <v>877.07051666666666</v>
      </c>
      <c r="AJ17" s="654">
        <f>AI17/'État des Résultats'!AI$14</f>
        <v>0.01</v>
      </c>
      <c r="AL17" s="793">
        <f>0.01*'État des Résultats'!AL14</f>
        <v>974.71230000000014</v>
      </c>
      <c r="AM17" s="654">
        <f>AL17/'État des Résultats'!AL$14</f>
        <v>0.01</v>
      </c>
      <c r="AP17" s="796">
        <f t="shared" si="0"/>
        <v>10545.280191666669</v>
      </c>
      <c r="AQ17" s="656">
        <f>+AP17/'État des Résultats'!$AP$14</f>
        <v>1.0000000000000004E-2</v>
      </c>
    </row>
    <row r="18" spans="2:45" x14ac:dyDescent="0.15">
      <c r="B18" s="653">
        <v>7412</v>
      </c>
      <c r="C18" s="391" t="s">
        <v>267</v>
      </c>
      <c r="E18" s="793">
        <v>0</v>
      </c>
      <c r="F18" s="654">
        <f>E18/'État des Résultats'!E$14</f>
        <v>0</v>
      </c>
      <c r="H18" s="793">
        <v>0</v>
      </c>
      <c r="I18" s="654">
        <f>H18/'État des Résultats'!H$14</f>
        <v>0</v>
      </c>
      <c r="K18" s="793">
        <v>0</v>
      </c>
      <c r="L18" s="654">
        <f>K18/'État des Résultats'!K$14</f>
        <v>0</v>
      </c>
      <c r="N18" s="793">
        <v>0</v>
      </c>
      <c r="O18" s="654">
        <f>N18/'État des Résultats'!N$14</f>
        <v>0</v>
      </c>
      <c r="Q18" s="793">
        <v>0</v>
      </c>
      <c r="R18" s="654">
        <f>Q18/'État des Résultats'!Q$14</f>
        <v>0</v>
      </c>
      <c r="T18" s="793">
        <v>0</v>
      </c>
      <c r="U18" s="654">
        <f>T18/'État des Résultats'!T$14</f>
        <v>0</v>
      </c>
      <c r="W18" s="793">
        <v>0</v>
      </c>
      <c r="X18" s="654">
        <f>W18/'État des Résultats'!W$14</f>
        <v>0</v>
      </c>
      <c r="Z18" s="793">
        <v>0</v>
      </c>
      <c r="AA18" s="654">
        <f>Z18/'État des Résultats'!Z$14</f>
        <v>0</v>
      </c>
      <c r="AC18" s="793">
        <v>0</v>
      </c>
      <c r="AD18" s="654">
        <f>AC18/'État des Résultats'!AC$14</f>
        <v>0</v>
      </c>
      <c r="AF18" s="793">
        <v>0</v>
      </c>
      <c r="AG18" s="654">
        <f>AF18/'État des Résultats'!AF$14</f>
        <v>0</v>
      </c>
      <c r="AI18" s="793">
        <v>0</v>
      </c>
      <c r="AJ18" s="654">
        <f>AI18/'État des Résultats'!AI$14</f>
        <v>0</v>
      </c>
      <c r="AL18" s="793">
        <v>0</v>
      </c>
      <c r="AM18" s="654">
        <f>AL18/'État des Résultats'!AL$14</f>
        <v>0</v>
      </c>
      <c r="AP18" s="796">
        <f t="shared" si="0"/>
        <v>0</v>
      </c>
      <c r="AQ18" s="656">
        <f>+AP18/'État des Résultats'!$AP$14</f>
        <v>0</v>
      </c>
      <c r="AS18" s="209"/>
    </row>
    <row r="19" spans="2:45" x14ac:dyDescent="0.15">
      <c r="B19" s="653">
        <v>7414</v>
      </c>
      <c r="C19" s="391" t="s">
        <v>268</v>
      </c>
      <c r="E19" s="793">
        <v>0</v>
      </c>
      <c r="F19" s="654">
        <f>E19/'État des Résultats'!E$14</f>
        <v>0</v>
      </c>
      <c r="H19" s="793">
        <v>0</v>
      </c>
      <c r="I19" s="654">
        <f>H19/'État des Résultats'!H$14</f>
        <v>0</v>
      </c>
      <c r="K19" s="793">
        <v>0</v>
      </c>
      <c r="L19" s="654">
        <f>K19/'État des Résultats'!K$14</f>
        <v>0</v>
      </c>
      <c r="N19" s="793">
        <v>0</v>
      </c>
      <c r="O19" s="654">
        <f>N19/'État des Résultats'!N$14</f>
        <v>0</v>
      </c>
      <c r="Q19" s="793">
        <v>0</v>
      </c>
      <c r="R19" s="654">
        <f>Q19/'État des Résultats'!Q$14</f>
        <v>0</v>
      </c>
      <c r="T19" s="793">
        <v>0</v>
      </c>
      <c r="U19" s="654">
        <f>T19/'État des Résultats'!T$14</f>
        <v>0</v>
      </c>
      <c r="W19" s="793">
        <v>0</v>
      </c>
      <c r="X19" s="654">
        <f>W19/'État des Résultats'!W$14</f>
        <v>0</v>
      </c>
      <c r="Z19" s="793">
        <v>0</v>
      </c>
      <c r="AA19" s="654">
        <f>Z19/'État des Résultats'!Z$14</f>
        <v>0</v>
      </c>
      <c r="AC19" s="793">
        <v>0</v>
      </c>
      <c r="AD19" s="654">
        <f>AC19/'État des Résultats'!AC$14</f>
        <v>0</v>
      </c>
      <c r="AF19" s="793">
        <v>0</v>
      </c>
      <c r="AG19" s="654">
        <f>AF19/'État des Résultats'!AF$14</f>
        <v>0</v>
      </c>
      <c r="AI19" s="793">
        <v>0</v>
      </c>
      <c r="AJ19" s="654">
        <f>AI19/'État des Résultats'!AI$14</f>
        <v>0</v>
      </c>
      <c r="AL19" s="793">
        <v>0</v>
      </c>
      <c r="AM19" s="654">
        <f>AL19/'État des Résultats'!AL$14</f>
        <v>0</v>
      </c>
      <c r="AP19" s="796">
        <f t="shared" si="0"/>
        <v>0</v>
      </c>
      <c r="AQ19" s="656">
        <f>+AP19/'État des Résultats'!$AP$14</f>
        <v>0</v>
      </c>
    </row>
    <row r="20" spans="2:45" x14ac:dyDescent="0.15">
      <c r="B20" s="653">
        <v>7416</v>
      </c>
      <c r="C20" s="391" t="s">
        <v>269</v>
      </c>
      <c r="E20" s="793">
        <v>0</v>
      </c>
      <c r="F20" s="654">
        <f>E20/'État des Résultats'!E$14</f>
        <v>0</v>
      </c>
      <c r="H20" s="793">
        <v>0</v>
      </c>
      <c r="I20" s="654">
        <f>H20/'État des Résultats'!H$14</f>
        <v>0</v>
      </c>
      <c r="K20" s="793">
        <v>0</v>
      </c>
      <c r="L20" s="654">
        <f>K20/'État des Résultats'!K$14</f>
        <v>0</v>
      </c>
      <c r="N20" s="793">
        <v>0</v>
      </c>
      <c r="O20" s="654">
        <f>N20/'État des Résultats'!N$14</f>
        <v>0</v>
      </c>
      <c r="Q20" s="793">
        <v>0</v>
      </c>
      <c r="R20" s="654">
        <f>Q20/'État des Résultats'!Q$14</f>
        <v>0</v>
      </c>
      <c r="T20" s="793">
        <v>0</v>
      </c>
      <c r="U20" s="654">
        <f>T20/'État des Résultats'!T$14</f>
        <v>0</v>
      </c>
      <c r="W20" s="793">
        <v>0</v>
      </c>
      <c r="X20" s="654">
        <f>W20/'État des Résultats'!W$14</f>
        <v>0</v>
      </c>
      <c r="Z20" s="793">
        <v>0</v>
      </c>
      <c r="AA20" s="654">
        <f>Z20/'État des Résultats'!Z$14</f>
        <v>0</v>
      </c>
      <c r="AC20" s="793">
        <v>0</v>
      </c>
      <c r="AD20" s="654">
        <f>AC20/'État des Résultats'!AC$14</f>
        <v>0</v>
      </c>
      <c r="AF20" s="793">
        <v>0</v>
      </c>
      <c r="AG20" s="654">
        <f>AF20/'État des Résultats'!AF$14</f>
        <v>0</v>
      </c>
      <c r="AI20" s="793">
        <v>0</v>
      </c>
      <c r="AJ20" s="654">
        <f>AI20/'État des Résultats'!AI$14</f>
        <v>0</v>
      </c>
      <c r="AL20" s="793">
        <v>0</v>
      </c>
      <c r="AM20" s="654">
        <f>AL20/'État des Résultats'!AL$14</f>
        <v>0</v>
      </c>
      <c r="AP20" s="796">
        <f t="shared" si="0"/>
        <v>0</v>
      </c>
      <c r="AQ20" s="656">
        <f>+AP20/'État des Résultats'!$AP$14</f>
        <v>0</v>
      </c>
    </row>
    <row r="21" spans="2:45" x14ac:dyDescent="0.15">
      <c r="B21" s="686">
        <v>7418</v>
      </c>
      <c r="C21" s="419" t="s">
        <v>270</v>
      </c>
      <c r="E21" s="793">
        <v>0</v>
      </c>
      <c r="F21" s="654">
        <f>E21/'État des Résultats'!E$14</f>
        <v>0</v>
      </c>
      <c r="H21" s="793">
        <v>0</v>
      </c>
      <c r="I21" s="654">
        <f>H21/'État des Résultats'!H$14</f>
        <v>0</v>
      </c>
      <c r="K21" s="793">
        <v>0</v>
      </c>
      <c r="L21" s="654">
        <f>K21/'État des Résultats'!K$14</f>
        <v>0</v>
      </c>
      <c r="N21" s="793">
        <v>0</v>
      </c>
      <c r="O21" s="654">
        <f>N21/'État des Résultats'!N$14</f>
        <v>0</v>
      </c>
      <c r="Q21" s="793">
        <v>0</v>
      </c>
      <c r="R21" s="654">
        <f>Q21/'État des Résultats'!Q$14</f>
        <v>0</v>
      </c>
      <c r="T21" s="793">
        <v>0</v>
      </c>
      <c r="U21" s="654">
        <f>T21/'État des Résultats'!T$14</f>
        <v>0</v>
      </c>
      <c r="W21" s="793">
        <v>0</v>
      </c>
      <c r="X21" s="654">
        <f>W21/'État des Résultats'!W$14</f>
        <v>0</v>
      </c>
      <c r="Z21" s="793">
        <v>0</v>
      </c>
      <c r="AA21" s="654">
        <f>Z21/'État des Résultats'!Z$14</f>
        <v>0</v>
      </c>
      <c r="AC21" s="793">
        <v>0</v>
      </c>
      <c r="AD21" s="654">
        <f>AC21/'État des Résultats'!AC$14</f>
        <v>0</v>
      </c>
      <c r="AF21" s="793">
        <v>0</v>
      </c>
      <c r="AG21" s="654">
        <f>AF21/'État des Résultats'!AF$14</f>
        <v>0</v>
      </c>
      <c r="AI21" s="793">
        <v>0</v>
      </c>
      <c r="AJ21" s="654">
        <f>AI21/'État des Résultats'!AI$14</f>
        <v>0</v>
      </c>
      <c r="AL21" s="793">
        <v>0</v>
      </c>
      <c r="AM21" s="654">
        <f>AL21/'État des Résultats'!AL$14</f>
        <v>0</v>
      </c>
      <c r="AP21" s="796">
        <f t="shared" si="0"/>
        <v>0</v>
      </c>
      <c r="AQ21" s="656">
        <f>+AP21/'État des Résultats'!$AP$14</f>
        <v>0</v>
      </c>
    </row>
    <row r="22" spans="2:45" x14ac:dyDescent="0.15">
      <c r="B22" s="653">
        <v>7420</v>
      </c>
      <c r="C22" s="391" t="s">
        <v>271</v>
      </c>
      <c r="E22" s="793">
        <v>0</v>
      </c>
      <c r="F22" s="654">
        <f>E22/'État des Résultats'!E$14</f>
        <v>0</v>
      </c>
      <c r="H22" s="793">
        <v>0</v>
      </c>
      <c r="I22" s="654">
        <f>H22/'État des Résultats'!H$14</f>
        <v>0</v>
      </c>
      <c r="K22" s="793">
        <v>0</v>
      </c>
      <c r="L22" s="654">
        <f>K22/'État des Résultats'!K$14</f>
        <v>0</v>
      </c>
      <c r="N22" s="793">
        <v>0</v>
      </c>
      <c r="O22" s="654">
        <f>N22/'État des Résultats'!N$14</f>
        <v>0</v>
      </c>
      <c r="Q22" s="793">
        <v>0</v>
      </c>
      <c r="R22" s="654">
        <f>Q22/'État des Résultats'!Q$14</f>
        <v>0</v>
      </c>
      <c r="T22" s="793">
        <v>0</v>
      </c>
      <c r="U22" s="654">
        <f>T22/'État des Résultats'!T$14</f>
        <v>0</v>
      </c>
      <c r="W22" s="793">
        <v>0</v>
      </c>
      <c r="X22" s="654">
        <f>W22/'État des Résultats'!W$14</f>
        <v>0</v>
      </c>
      <c r="Z22" s="793">
        <v>0</v>
      </c>
      <c r="AA22" s="654">
        <f>Z22/'État des Résultats'!Z$14</f>
        <v>0</v>
      </c>
      <c r="AC22" s="793">
        <v>0</v>
      </c>
      <c r="AD22" s="654">
        <f>AC22/'État des Résultats'!AC$14</f>
        <v>0</v>
      </c>
      <c r="AF22" s="793">
        <v>0</v>
      </c>
      <c r="AG22" s="654">
        <f>AF22/'État des Résultats'!AF$14</f>
        <v>0</v>
      </c>
      <c r="AI22" s="793">
        <v>0</v>
      </c>
      <c r="AJ22" s="654">
        <f>AI22/'État des Résultats'!AI$14</f>
        <v>0</v>
      </c>
      <c r="AL22" s="793">
        <v>0</v>
      </c>
      <c r="AM22" s="654">
        <f>AL22/'État des Résultats'!AL$14</f>
        <v>0</v>
      </c>
      <c r="AP22" s="796">
        <f t="shared" si="0"/>
        <v>0</v>
      </c>
      <c r="AQ22" s="656">
        <f>+AP22/'État des Résultats'!$AP$14</f>
        <v>0</v>
      </c>
    </row>
    <row r="23" spans="2:45" x14ac:dyDescent="0.15">
      <c r="B23" s="686">
        <v>7422</v>
      </c>
      <c r="C23" s="419" t="s">
        <v>272</v>
      </c>
      <c r="E23" s="793">
        <f>(5500/12)</f>
        <v>458.33333333333331</v>
      </c>
      <c r="F23" s="654">
        <f>E23/'État des Résultats'!E$14</f>
        <v>6.2796857873584208E-3</v>
      </c>
      <c r="H23" s="793">
        <f>(5500/12)</f>
        <v>458.33333333333331</v>
      </c>
      <c r="I23" s="654">
        <f>H23/'État des Résultats'!H$14</f>
        <v>6.4787438304689422E-3</v>
      </c>
      <c r="K23" s="793">
        <f>(5500/12)</f>
        <v>458.33333333333331</v>
      </c>
      <c r="L23" s="654">
        <f>K23/'État des Résultats'!K$14</f>
        <v>5.8140149473038822E-3</v>
      </c>
      <c r="N23" s="793">
        <f>(5500/12)</f>
        <v>458.33333333333331</v>
      </c>
      <c r="O23" s="654">
        <f>N23/'État des Résultats'!N$14</f>
        <v>5.5395735501316953E-3</v>
      </c>
      <c r="Q23" s="793">
        <f>(5500/12)</f>
        <v>458.33333333333331</v>
      </c>
      <c r="R23" s="654">
        <f>Q23/'État des Résultats'!Q$14</f>
        <v>5.1451262370754425E-3</v>
      </c>
      <c r="T23" s="793">
        <f>(5500/12)</f>
        <v>458.33333333333331</v>
      </c>
      <c r="U23" s="654">
        <f>T23/'État des Résultats'!T$14</f>
        <v>5.0065520291264079E-3</v>
      </c>
      <c r="W23" s="793">
        <f>(5500/12)</f>
        <v>458.33333333333331</v>
      </c>
      <c r="X23" s="654">
        <f>W23/'État des Résultats'!W$14</f>
        <v>4.6610917636254251E-3</v>
      </c>
      <c r="Z23" s="793">
        <f>(5500/12)</f>
        <v>458.33333333333331</v>
      </c>
      <c r="AA23" s="654">
        <f>Z23/'État des Résultats'!Z$14</f>
        <v>4.6003703448685195E-3</v>
      </c>
      <c r="AC23" s="793">
        <f>(5500/12)</f>
        <v>458.33333333333331</v>
      </c>
      <c r="AD23" s="654">
        <f>AC23/'État des Résultats'!AC$14</f>
        <v>5.0310698751207953E-3</v>
      </c>
      <c r="AF23" s="793">
        <f>(5500/12)</f>
        <v>458.33333333333331</v>
      </c>
      <c r="AG23" s="654">
        <f>AF23/'État des Résultats'!AF$14</f>
        <v>4.8573545974304865E-3</v>
      </c>
      <c r="AI23" s="793">
        <f>(5500/12)</f>
        <v>458.33333333333331</v>
      </c>
      <c r="AJ23" s="654">
        <f>AI23/'État des Résultats'!AI$14</f>
        <v>5.2257295693309037E-3</v>
      </c>
      <c r="AL23" s="793">
        <f>(5500/12)</f>
        <v>458.33333333333331</v>
      </c>
      <c r="AM23" s="654">
        <f>AL23/'État des Résultats'!AL$14</f>
        <v>4.7022422240217271E-3</v>
      </c>
      <c r="AP23" s="796">
        <f t="shared" si="0"/>
        <v>5499.9999999999991</v>
      </c>
      <c r="AQ23" s="656">
        <f>+AP23/'État des Résultats'!$AP$14</f>
        <v>5.2156034738141295E-3</v>
      </c>
    </row>
    <row r="24" spans="2:45" x14ac:dyDescent="0.15">
      <c r="B24" s="653">
        <v>7424</v>
      </c>
      <c r="C24" s="391" t="s">
        <v>273</v>
      </c>
      <c r="E24" s="793">
        <v>0</v>
      </c>
      <c r="F24" s="654">
        <f>E24/'État des Résultats'!E$14</f>
        <v>0</v>
      </c>
      <c r="H24" s="793">
        <v>0</v>
      </c>
      <c r="I24" s="654">
        <f>H24/'État des Résultats'!H$14</f>
        <v>0</v>
      </c>
      <c r="K24" s="793">
        <v>0</v>
      </c>
      <c r="L24" s="654">
        <f>K24/'État des Résultats'!K$14</f>
        <v>0</v>
      </c>
      <c r="N24" s="793">
        <v>0</v>
      </c>
      <c r="O24" s="654">
        <f>N24/'État des Résultats'!N$14</f>
        <v>0</v>
      </c>
      <c r="Q24" s="793">
        <v>0</v>
      </c>
      <c r="R24" s="654">
        <f>Q24/'État des Résultats'!Q$14</f>
        <v>0</v>
      </c>
      <c r="T24" s="793">
        <v>0</v>
      </c>
      <c r="U24" s="654">
        <f>T24/'État des Résultats'!T$14</f>
        <v>0</v>
      </c>
      <c r="W24" s="793">
        <v>0</v>
      </c>
      <c r="X24" s="654">
        <f>W24/'État des Résultats'!W$14</f>
        <v>0</v>
      </c>
      <c r="Z24" s="793">
        <v>0</v>
      </c>
      <c r="AA24" s="654">
        <f>Z24/'État des Résultats'!Z$14</f>
        <v>0</v>
      </c>
      <c r="AC24" s="793">
        <v>0</v>
      </c>
      <c r="AD24" s="654">
        <f>AC24/'État des Résultats'!AC$14</f>
        <v>0</v>
      </c>
      <c r="AF24" s="793">
        <v>0</v>
      </c>
      <c r="AG24" s="654">
        <f>AF24/'État des Résultats'!AF$14</f>
        <v>0</v>
      </c>
      <c r="AI24" s="793">
        <v>0</v>
      </c>
      <c r="AJ24" s="654">
        <f>AI24/'État des Résultats'!AI$14</f>
        <v>0</v>
      </c>
      <c r="AL24" s="793">
        <v>0</v>
      </c>
      <c r="AM24" s="654">
        <f>AL24/'État des Résultats'!AL$14</f>
        <v>0</v>
      </c>
      <c r="AP24" s="796">
        <f t="shared" si="0"/>
        <v>0</v>
      </c>
      <c r="AQ24" s="656">
        <f>+AP24/'État des Résultats'!$AP$14</f>
        <v>0</v>
      </c>
    </row>
    <row r="25" spans="2:45" x14ac:dyDescent="0.15">
      <c r="B25" s="653">
        <v>7426</v>
      </c>
      <c r="C25" s="391" t="s">
        <v>274</v>
      </c>
      <c r="E25" s="793">
        <v>0</v>
      </c>
      <c r="F25" s="654">
        <f>E25/'État des Résultats'!E$14</f>
        <v>0</v>
      </c>
      <c r="H25" s="793">
        <v>0</v>
      </c>
      <c r="I25" s="654">
        <f>H25/'État des Résultats'!H$14</f>
        <v>0</v>
      </c>
      <c r="K25" s="793">
        <v>0</v>
      </c>
      <c r="L25" s="654">
        <f>K25/'État des Résultats'!K$14</f>
        <v>0</v>
      </c>
      <c r="N25" s="793">
        <v>0</v>
      </c>
      <c r="O25" s="654">
        <f>N25/'État des Résultats'!N$14</f>
        <v>0</v>
      </c>
      <c r="Q25" s="793">
        <v>0</v>
      </c>
      <c r="R25" s="654">
        <f>Q25/'État des Résultats'!Q$14</f>
        <v>0</v>
      </c>
      <c r="T25" s="793">
        <v>0</v>
      </c>
      <c r="U25" s="654">
        <f>T25/'État des Résultats'!T$14</f>
        <v>0</v>
      </c>
      <c r="W25" s="793">
        <v>0</v>
      </c>
      <c r="X25" s="654">
        <f>W25/'État des Résultats'!W$14</f>
        <v>0</v>
      </c>
      <c r="Z25" s="793">
        <v>0</v>
      </c>
      <c r="AA25" s="654">
        <f>Z25/'État des Résultats'!Z$14</f>
        <v>0</v>
      </c>
      <c r="AC25" s="793">
        <v>0</v>
      </c>
      <c r="AD25" s="654">
        <f>AC25/'État des Résultats'!AC$14</f>
        <v>0</v>
      </c>
      <c r="AF25" s="793">
        <v>0</v>
      </c>
      <c r="AG25" s="654">
        <f>AF25/'État des Résultats'!AF$14</f>
        <v>0</v>
      </c>
      <c r="AI25" s="793">
        <v>0</v>
      </c>
      <c r="AJ25" s="654">
        <f>AI25/'État des Résultats'!AI$14</f>
        <v>0</v>
      </c>
      <c r="AL25" s="793">
        <v>0</v>
      </c>
      <c r="AM25" s="654">
        <f>AL25/'État des Résultats'!AL$14</f>
        <v>0</v>
      </c>
      <c r="AP25" s="796">
        <f t="shared" si="0"/>
        <v>0</v>
      </c>
      <c r="AQ25" s="656">
        <f>+AP25/'État des Résultats'!$AP$14</f>
        <v>0</v>
      </c>
    </row>
    <row r="26" spans="2:45" x14ac:dyDescent="0.15">
      <c r="B26" s="686">
        <v>7428</v>
      </c>
      <c r="C26" s="419" t="s">
        <v>275</v>
      </c>
      <c r="E26" s="793">
        <v>0</v>
      </c>
      <c r="F26" s="654">
        <f>E26/'État des Résultats'!E$14</f>
        <v>0</v>
      </c>
      <c r="H26" s="793">
        <v>0</v>
      </c>
      <c r="I26" s="654">
        <f>H26/'État des Résultats'!H$14</f>
        <v>0</v>
      </c>
      <c r="K26" s="793">
        <v>0</v>
      </c>
      <c r="L26" s="654">
        <f>K26/'État des Résultats'!K$14</f>
        <v>0</v>
      </c>
      <c r="N26" s="793">
        <v>0</v>
      </c>
      <c r="O26" s="654">
        <f>N26/'État des Résultats'!N$14</f>
        <v>0</v>
      </c>
      <c r="Q26" s="793">
        <v>0</v>
      </c>
      <c r="R26" s="654">
        <f>Q26/'État des Résultats'!Q$14</f>
        <v>0</v>
      </c>
      <c r="T26" s="793">
        <v>0</v>
      </c>
      <c r="U26" s="654">
        <f>T26/'État des Résultats'!T$14</f>
        <v>0</v>
      </c>
      <c r="W26" s="793">
        <v>0</v>
      </c>
      <c r="X26" s="654">
        <f>W26/'État des Résultats'!W$14</f>
        <v>0</v>
      </c>
      <c r="Z26" s="793">
        <v>0</v>
      </c>
      <c r="AA26" s="654">
        <f>Z26/'État des Résultats'!Z$14</f>
        <v>0</v>
      </c>
      <c r="AC26" s="793">
        <v>0</v>
      </c>
      <c r="AD26" s="654">
        <f>AC26/'État des Résultats'!AC$14</f>
        <v>0</v>
      </c>
      <c r="AF26" s="793">
        <v>0</v>
      </c>
      <c r="AG26" s="654">
        <f>AF26/'État des Résultats'!AF$14</f>
        <v>0</v>
      </c>
      <c r="AI26" s="793">
        <v>0</v>
      </c>
      <c r="AJ26" s="654">
        <f>AI26/'État des Résultats'!AI$14</f>
        <v>0</v>
      </c>
      <c r="AL26" s="793">
        <v>0</v>
      </c>
      <c r="AM26" s="654">
        <f>AL26/'État des Résultats'!AL$14</f>
        <v>0</v>
      </c>
      <c r="AP26" s="796">
        <f t="shared" si="0"/>
        <v>0</v>
      </c>
      <c r="AQ26" s="656">
        <f>+AP26/'État des Résultats'!$AP$14</f>
        <v>0</v>
      </c>
    </row>
    <row r="27" spans="2:45" x14ac:dyDescent="0.15">
      <c r="B27" s="653">
        <v>7430</v>
      </c>
      <c r="C27" s="391" t="s">
        <v>276</v>
      </c>
      <c r="E27" s="793">
        <v>0</v>
      </c>
      <c r="F27" s="654">
        <f>E27/'État des Résultats'!E$14</f>
        <v>0</v>
      </c>
      <c r="H27" s="793">
        <v>0</v>
      </c>
      <c r="I27" s="654">
        <f>H27/'État des Résultats'!H$14</f>
        <v>0</v>
      </c>
      <c r="K27" s="793">
        <v>0</v>
      </c>
      <c r="L27" s="654">
        <f>K27/'État des Résultats'!K$14</f>
        <v>0</v>
      </c>
      <c r="N27" s="793">
        <v>0</v>
      </c>
      <c r="O27" s="654">
        <f>N27/'État des Résultats'!N$14</f>
        <v>0</v>
      </c>
      <c r="Q27" s="793">
        <v>0</v>
      </c>
      <c r="R27" s="654">
        <f>Q27/'État des Résultats'!Q$14</f>
        <v>0</v>
      </c>
      <c r="T27" s="793">
        <v>0</v>
      </c>
      <c r="U27" s="654">
        <f>T27/'État des Résultats'!T$14</f>
        <v>0</v>
      </c>
      <c r="W27" s="793">
        <v>0</v>
      </c>
      <c r="X27" s="654">
        <f>W27/'État des Résultats'!W$14</f>
        <v>0</v>
      </c>
      <c r="Z27" s="793">
        <v>0</v>
      </c>
      <c r="AA27" s="654">
        <f>Z27/'État des Résultats'!Z$14</f>
        <v>0</v>
      </c>
      <c r="AC27" s="793">
        <v>0</v>
      </c>
      <c r="AD27" s="654">
        <f>AC27/'État des Résultats'!AC$14</f>
        <v>0</v>
      </c>
      <c r="AF27" s="793">
        <v>0</v>
      </c>
      <c r="AG27" s="654">
        <f>AF27/'État des Résultats'!AF$14</f>
        <v>0</v>
      </c>
      <c r="AI27" s="793">
        <v>0</v>
      </c>
      <c r="AJ27" s="654">
        <f>AI27/'État des Résultats'!AI$14</f>
        <v>0</v>
      </c>
      <c r="AL27" s="793">
        <v>0</v>
      </c>
      <c r="AM27" s="654">
        <f>AL27/'État des Résultats'!AL$14</f>
        <v>0</v>
      </c>
      <c r="AP27" s="796">
        <f t="shared" si="0"/>
        <v>0</v>
      </c>
      <c r="AQ27" s="656">
        <f>+AP27/'État des Résultats'!$AP$14</f>
        <v>0</v>
      </c>
    </row>
    <row r="28" spans="2:45" x14ac:dyDescent="0.15">
      <c r="B28" s="653">
        <v>7432</v>
      </c>
      <c r="C28" s="391" t="s">
        <v>277</v>
      </c>
      <c r="E28" s="793">
        <v>0</v>
      </c>
      <c r="F28" s="654">
        <f>E28/'État des Résultats'!E$14</f>
        <v>0</v>
      </c>
      <c r="H28" s="793">
        <v>0</v>
      </c>
      <c r="I28" s="654">
        <f>H28/'État des Résultats'!H$14</f>
        <v>0</v>
      </c>
      <c r="K28" s="793">
        <v>0</v>
      </c>
      <c r="L28" s="654">
        <f>K28/'État des Résultats'!K$14</f>
        <v>0</v>
      </c>
      <c r="N28" s="793">
        <v>0</v>
      </c>
      <c r="O28" s="654">
        <f>N28/'État des Résultats'!N$14</f>
        <v>0</v>
      </c>
      <c r="Q28" s="793">
        <v>0</v>
      </c>
      <c r="R28" s="654">
        <f>Q28/'État des Résultats'!Q$14</f>
        <v>0</v>
      </c>
      <c r="T28" s="793">
        <v>0</v>
      </c>
      <c r="U28" s="654">
        <f>T28/'État des Résultats'!T$14</f>
        <v>0</v>
      </c>
      <c r="W28" s="793">
        <v>0</v>
      </c>
      <c r="X28" s="654">
        <f>W28/'État des Résultats'!W$14</f>
        <v>0</v>
      </c>
      <c r="Z28" s="793">
        <v>0</v>
      </c>
      <c r="AA28" s="654">
        <f>Z28/'État des Résultats'!Z$14</f>
        <v>0</v>
      </c>
      <c r="AC28" s="793">
        <v>0</v>
      </c>
      <c r="AD28" s="654">
        <f>AC28/'État des Résultats'!AC$14</f>
        <v>0</v>
      </c>
      <c r="AF28" s="793">
        <v>0</v>
      </c>
      <c r="AG28" s="654">
        <f>AF28/'État des Résultats'!AF$14</f>
        <v>0</v>
      </c>
      <c r="AI28" s="793">
        <v>0</v>
      </c>
      <c r="AJ28" s="654">
        <f>AI28/'État des Résultats'!AI$14</f>
        <v>0</v>
      </c>
      <c r="AL28" s="793">
        <v>0</v>
      </c>
      <c r="AM28" s="654">
        <f>AL28/'État des Résultats'!AL$14</f>
        <v>0</v>
      </c>
      <c r="AP28" s="796">
        <f t="shared" si="0"/>
        <v>0</v>
      </c>
      <c r="AQ28" s="656">
        <f>+AP28/'État des Résultats'!$AP$14</f>
        <v>0</v>
      </c>
    </row>
    <row r="29" spans="2:45" x14ac:dyDescent="0.15">
      <c r="B29" s="653">
        <v>7436</v>
      </c>
      <c r="C29" s="391" t="s">
        <v>278</v>
      </c>
      <c r="E29" s="793">
        <v>0</v>
      </c>
      <c r="F29" s="654">
        <f>E29/'État des Résultats'!E$14</f>
        <v>0</v>
      </c>
      <c r="H29" s="793">
        <v>0</v>
      </c>
      <c r="I29" s="654">
        <f>H29/'État des Résultats'!H$14</f>
        <v>0</v>
      </c>
      <c r="K29" s="793">
        <v>0</v>
      </c>
      <c r="L29" s="654">
        <f>K29/'État des Résultats'!K$14</f>
        <v>0</v>
      </c>
      <c r="N29" s="793">
        <v>0</v>
      </c>
      <c r="O29" s="654">
        <f>N29/'État des Résultats'!N$14</f>
        <v>0</v>
      </c>
      <c r="Q29" s="793">
        <v>0</v>
      </c>
      <c r="R29" s="654">
        <f>Q29/'État des Résultats'!Q$14</f>
        <v>0</v>
      </c>
      <c r="T29" s="793">
        <v>0</v>
      </c>
      <c r="U29" s="654">
        <f>T29/'État des Résultats'!T$14</f>
        <v>0</v>
      </c>
      <c r="W29" s="793">
        <v>0</v>
      </c>
      <c r="X29" s="654">
        <f>W29/'État des Résultats'!W$14</f>
        <v>0</v>
      </c>
      <c r="Z29" s="793">
        <v>0</v>
      </c>
      <c r="AA29" s="654">
        <f>Z29/'État des Résultats'!Z$14</f>
        <v>0</v>
      </c>
      <c r="AC29" s="793">
        <v>0</v>
      </c>
      <c r="AD29" s="654">
        <f>AC29/'État des Résultats'!AC$14</f>
        <v>0</v>
      </c>
      <c r="AF29" s="793">
        <v>0</v>
      </c>
      <c r="AG29" s="654">
        <f>AF29/'État des Résultats'!AF$14</f>
        <v>0</v>
      </c>
      <c r="AI29" s="793">
        <v>0</v>
      </c>
      <c r="AJ29" s="654">
        <f>AI29/'État des Résultats'!AI$14</f>
        <v>0</v>
      </c>
      <c r="AL29" s="793">
        <v>0</v>
      </c>
      <c r="AM29" s="654">
        <f>AL29/'État des Résultats'!AL$14</f>
        <v>0</v>
      </c>
      <c r="AP29" s="796">
        <f t="shared" si="0"/>
        <v>0</v>
      </c>
      <c r="AQ29" s="656">
        <f>+AP29/'État des Résultats'!$AP$14</f>
        <v>0</v>
      </c>
    </row>
    <row r="30" spans="2:45" x14ac:dyDescent="0.15">
      <c r="B30" s="686">
        <v>7438</v>
      </c>
      <c r="C30" s="419" t="s">
        <v>279</v>
      </c>
      <c r="E30" s="793">
        <f>(4000/12)</f>
        <v>333.33333333333331</v>
      </c>
      <c r="F30" s="654">
        <f>E30/'État des Résultats'!E$14</f>
        <v>4.5670442089879425E-3</v>
      </c>
      <c r="H30" s="793">
        <f>(4000/12)</f>
        <v>333.33333333333331</v>
      </c>
      <c r="I30" s="654">
        <f>H30/'État des Résultats'!H$14</f>
        <v>4.7118136948865038E-3</v>
      </c>
      <c r="K30" s="793">
        <f>(4000/12)</f>
        <v>333.33333333333331</v>
      </c>
      <c r="L30" s="654">
        <f>K30/'État des Résultats'!K$14</f>
        <v>4.2283745071300966E-3</v>
      </c>
      <c r="N30" s="793">
        <f>(4000/12)</f>
        <v>333.33333333333331</v>
      </c>
      <c r="O30" s="654">
        <f>N30/'État des Résultats'!N$14</f>
        <v>4.0287807637321418E-3</v>
      </c>
      <c r="Q30" s="793">
        <f>(4000/12)</f>
        <v>333.33333333333331</v>
      </c>
      <c r="R30" s="654">
        <f>Q30/'État des Résultats'!Q$14</f>
        <v>3.7419099906003221E-3</v>
      </c>
      <c r="T30" s="793">
        <f>(4000/12)</f>
        <v>333.33333333333331</v>
      </c>
      <c r="U30" s="654">
        <f>T30/'État des Résultats'!T$14</f>
        <v>3.6411287484555692E-3</v>
      </c>
      <c r="W30" s="793">
        <f>(4000/12)</f>
        <v>333.33333333333331</v>
      </c>
      <c r="X30" s="654">
        <f>W30/'État des Résultats'!W$14</f>
        <v>3.3898849190003091E-3</v>
      </c>
      <c r="Z30" s="793">
        <f>(4000/12)</f>
        <v>333.33333333333331</v>
      </c>
      <c r="AA30" s="654">
        <f>Z30/'État des Résultats'!Z$14</f>
        <v>3.3457238871771049E-3</v>
      </c>
      <c r="AC30" s="793">
        <f>(4000/12)</f>
        <v>333.33333333333331</v>
      </c>
      <c r="AD30" s="654">
        <f>AC30/'État des Résultats'!AC$14</f>
        <v>3.6589599091787603E-3</v>
      </c>
      <c r="AF30" s="793">
        <f>(4000/12)</f>
        <v>333.33333333333331</v>
      </c>
      <c r="AG30" s="654">
        <f>AF30/'État des Résultats'!AF$14</f>
        <v>3.5326215254039904E-3</v>
      </c>
      <c r="AI30" s="793">
        <f>(4000/12)</f>
        <v>333.33333333333331</v>
      </c>
      <c r="AJ30" s="654">
        <f>AI30/'État des Résultats'!AI$14</f>
        <v>3.8005305958770208E-3</v>
      </c>
      <c r="AL30" s="793">
        <f>(4000/12)</f>
        <v>333.33333333333331</v>
      </c>
      <c r="AM30" s="654">
        <f>AL30/'État des Résultats'!AL$14</f>
        <v>3.4198125265612559E-3</v>
      </c>
      <c r="AP30" s="796">
        <f t="shared" si="0"/>
        <v>4000.0000000000005</v>
      </c>
      <c r="AQ30" s="656">
        <f>+AP30/'État des Résultats'!$AP$14</f>
        <v>3.7931661627739134E-3</v>
      </c>
    </row>
    <row r="31" spans="2:45" x14ac:dyDescent="0.15">
      <c r="B31" s="653">
        <v>7440</v>
      </c>
      <c r="C31" s="391" t="s">
        <v>280</v>
      </c>
      <c r="E31" s="793">
        <v>0</v>
      </c>
      <c r="F31" s="654">
        <f>E31/'État des Résultats'!E$14</f>
        <v>0</v>
      </c>
      <c r="H31" s="793">
        <v>0</v>
      </c>
      <c r="I31" s="654">
        <f>H31/'État des Résultats'!H$14</f>
        <v>0</v>
      </c>
      <c r="K31" s="793">
        <v>0</v>
      </c>
      <c r="L31" s="654">
        <f>K31/'État des Résultats'!K$14</f>
        <v>0</v>
      </c>
      <c r="N31" s="793">
        <v>0</v>
      </c>
      <c r="O31" s="654">
        <f>N31/'État des Résultats'!N$14</f>
        <v>0</v>
      </c>
      <c r="Q31" s="793">
        <v>0</v>
      </c>
      <c r="R31" s="654">
        <f>Q31/'État des Résultats'!Q$14</f>
        <v>0</v>
      </c>
      <c r="T31" s="793">
        <v>0</v>
      </c>
      <c r="U31" s="654">
        <f>T31/'État des Résultats'!T$14</f>
        <v>0</v>
      </c>
      <c r="W31" s="793">
        <v>0</v>
      </c>
      <c r="X31" s="654">
        <f>W31/'État des Résultats'!W$14</f>
        <v>0</v>
      </c>
      <c r="Z31" s="793">
        <v>0</v>
      </c>
      <c r="AA31" s="654">
        <f>Z31/'État des Résultats'!Z$14</f>
        <v>0</v>
      </c>
      <c r="AC31" s="793">
        <v>0</v>
      </c>
      <c r="AD31" s="654">
        <f>AC31/'État des Résultats'!AC$14</f>
        <v>0</v>
      </c>
      <c r="AF31" s="793">
        <v>0</v>
      </c>
      <c r="AG31" s="654">
        <f>AF31/'État des Résultats'!AF$14</f>
        <v>0</v>
      </c>
      <c r="AI31" s="793">
        <v>0</v>
      </c>
      <c r="AJ31" s="654">
        <f>AI31/'État des Résultats'!AI$14</f>
        <v>0</v>
      </c>
      <c r="AL31" s="793">
        <v>0</v>
      </c>
      <c r="AM31" s="654">
        <f>AL31/'État des Résultats'!AL$14</f>
        <v>0</v>
      </c>
      <c r="AP31" s="796">
        <f t="shared" si="0"/>
        <v>0</v>
      </c>
      <c r="AQ31" s="656">
        <f>+AP31/'État des Résultats'!$AP$14</f>
        <v>0</v>
      </c>
    </row>
    <row r="32" spans="2:45" x14ac:dyDescent="0.15">
      <c r="B32" s="653">
        <v>7499</v>
      </c>
      <c r="C32" s="391" t="s">
        <v>281</v>
      </c>
      <c r="E32" s="793">
        <v>500</v>
      </c>
      <c r="F32" s="654">
        <f>E32/'État des Résultats'!E$14</f>
        <v>6.8505663134819138E-3</v>
      </c>
      <c r="H32" s="793">
        <v>500</v>
      </c>
      <c r="I32" s="654">
        <f>H32/'État des Résultats'!H$14</f>
        <v>7.0677205423297562E-3</v>
      </c>
      <c r="K32" s="793">
        <v>500</v>
      </c>
      <c r="L32" s="654">
        <f>K32/'État des Résultats'!K$14</f>
        <v>6.3425617606951449E-3</v>
      </c>
      <c r="N32" s="793">
        <v>500</v>
      </c>
      <c r="O32" s="654">
        <f>N32/'État des Résultats'!N$14</f>
        <v>6.0431711455982131E-3</v>
      </c>
      <c r="Q32" s="793">
        <v>500</v>
      </c>
      <c r="R32" s="654">
        <f>Q32/'État des Résultats'!Q$14</f>
        <v>5.6128649859004832E-3</v>
      </c>
      <c r="T32" s="793">
        <v>500</v>
      </c>
      <c r="U32" s="654">
        <f>T32/'État des Résultats'!T$14</f>
        <v>5.461693122683354E-3</v>
      </c>
      <c r="W32" s="793">
        <v>500</v>
      </c>
      <c r="X32" s="654">
        <f>W32/'État des Résultats'!W$14</f>
        <v>5.0848273785004637E-3</v>
      </c>
      <c r="Z32" s="793">
        <v>500</v>
      </c>
      <c r="AA32" s="654">
        <f>Z32/'État des Résultats'!Z$14</f>
        <v>5.0185858307656575E-3</v>
      </c>
      <c r="AC32" s="793">
        <v>500</v>
      </c>
      <c r="AD32" s="654">
        <f>AC32/'État des Résultats'!AC$14</f>
        <v>5.4884398637681407E-3</v>
      </c>
      <c r="AF32" s="793">
        <v>500</v>
      </c>
      <c r="AG32" s="654">
        <f>AF32/'État des Résultats'!AF$14</f>
        <v>5.2989322881059854E-3</v>
      </c>
      <c r="AI32" s="793">
        <v>500</v>
      </c>
      <c r="AJ32" s="654">
        <f>AI32/'État des Résultats'!AI$14</f>
        <v>5.7007958938155318E-3</v>
      </c>
      <c r="AL32" s="793">
        <v>500</v>
      </c>
      <c r="AM32" s="654">
        <f>AL32/'État des Résultats'!AL$14</f>
        <v>5.1297187898418839E-3</v>
      </c>
      <c r="AP32" s="796">
        <f t="shared" si="0"/>
        <v>6000</v>
      </c>
      <c r="AQ32" s="656">
        <f>+AP32/'État des Résultats'!$AP$14</f>
        <v>5.6897492441608695E-3</v>
      </c>
    </row>
    <row r="33" spans="2:69" ht="14" thickBot="1" x14ac:dyDescent="0.2">
      <c r="B33" s="689"/>
      <c r="C33" s="690"/>
      <c r="D33" s="682"/>
      <c r="E33" s="797"/>
      <c r="F33" s="687"/>
      <c r="G33" s="682"/>
      <c r="H33" s="797"/>
      <c r="I33" s="687"/>
      <c r="J33" s="682"/>
      <c r="K33" s="797"/>
      <c r="L33" s="687"/>
      <c r="M33" s="682"/>
      <c r="N33" s="797"/>
      <c r="O33" s="687"/>
      <c r="P33" s="682"/>
      <c r="Q33" s="797"/>
      <c r="R33" s="687"/>
      <c r="S33" s="682"/>
      <c r="T33" s="797"/>
      <c r="U33" s="687"/>
      <c r="V33" s="682"/>
      <c r="W33" s="797"/>
      <c r="X33" s="687"/>
      <c r="Y33" s="682"/>
      <c r="Z33" s="797"/>
      <c r="AA33" s="687"/>
      <c r="AB33" s="682"/>
      <c r="AC33" s="797"/>
      <c r="AD33" s="687"/>
      <c r="AE33" s="682"/>
      <c r="AF33" s="797"/>
      <c r="AG33" s="687"/>
      <c r="AH33" s="682"/>
      <c r="AI33" s="797"/>
      <c r="AJ33" s="687"/>
      <c r="AK33" s="682"/>
      <c r="AL33" s="797"/>
      <c r="AM33" s="687"/>
      <c r="AN33" s="682"/>
      <c r="AO33" s="682"/>
      <c r="AP33" s="796"/>
      <c r="AQ33" s="688"/>
      <c r="AR33" s="682"/>
      <c r="AS33" s="682"/>
      <c r="AT33" s="682"/>
      <c r="AU33" s="682"/>
      <c r="AV33" s="682"/>
      <c r="AW33" s="682"/>
      <c r="AX33" s="682"/>
      <c r="AY33" s="682"/>
    </row>
    <row r="34" spans="2:69" ht="15" thickTop="1" thickBot="1" x14ac:dyDescent="0.2">
      <c r="B34" s="469">
        <v>7400</v>
      </c>
      <c r="C34" s="470" t="s">
        <v>282</v>
      </c>
      <c r="D34" s="213"/>
      <c r="E34" s="795">
        <f>SUM(E13:E32)</f>
        <v>2386.4666666666662</v>
      </c>
      <c r="F34" s="662">
        <f>SUM(F13:F32)</f>
        <v>3.2697296309828282E-2</v>
      </c>
      <c r="G34" s="213"/>
      <c r="H34" s="795">
        <f>SUM(H13:H32)</f>
        <v>2352.8291666666664</v>
      </c>
      <c r="I34" s="662">
        <f>SUM(I13:I32)</f>
        <v>3.32582780676852E-2</v>
      </c>
      <c r="J34" s="213"/>
      <c r="K34" s="795">
        <f>SUM(K13:K32)</f>
        <v>2474.1541666666667</v>
      </c>
      <c r="L34" s="662">
        <f>SUM(L13:L32)</f>
        <v>3.1384951215129117E-2</v>
      </c>
      <c r="M34" s="213"/>
      <c r="N34" s="795">
        <f>SUM(N13:N32)</f>
        <v>2532.7369291666664</v>
      </c>
      <c r="O34" s="662">
        <f>SUM(O13:O32)</f>
        <v>3.0611525459462052E-2</v>
      </c>
      <c r="P34" s="213"/>
      <c r="Q34" s="795">
        <f>SUM(Q13:Q32)</f>
        <v>2627.8826666666664</v>
      </c>
      <c r="R34" s="662">
        <f>SUM(R13:R32)</f>
        <v>2.9499901213576249E-2</v>
      </c>
      <c r="S34" s="213"/>
      <c r="T34" s="795">
        <f>SUM(T13:T32)</f>
        <v>2664.8672166666665</v>
      </c>
      <c r="U34" s="662">
        <f>SUM(U13:U32)</f>
        <v>2.9109373900265328E-2</v>
      </c>
      <c r="V34" s="213"/>
      <c r="W34" s="795">
        <f>SUM(W13:W32)</f>
        <v>2766.6429916666671</v>
      </c>
      <c r="X34" s="662">
        <f>SUM(X13:X32)</f>
        <v>2.8135804061126198E-2</v>
      </c>
      <c r="Y34" s="213"/>
      <c r="Z34" s="795">
        <f>SUM(Z13:Z32)</f>
        <v>2786.1115666666665</v>
      </c>
      <c r="AA34" s="662">
        <f>SUM(AA13:AA32)</f>
        <v>2.7964680062811279E-2</v>
      </c>
      <c r="AB34" s="213"/>
      <c r="AC34" s="795">
        <f>SUM(AC13:AC32)</f>
        <v>2658.1752166666665</v>
      </c>
      <c r="AD34" s="662">
        <f>SUM(AD13:AD32)</f>
        <v>2.9178469648067695E-2</v>
      </c>
      <c r="AE34" s="213"/>
      <c r="AF34" s="795">
        <f>SUM(AF13:AF32)</f>
        <v>2707.0461416666667</v>
      </c>
      <c r="AG34" s="662">
        <f>SUM(AG13:AG32)</f>
        <v>2.8688908410940465E-2</v>
      </c>
      <c r="AH34" s="213"/>
      <c r="AI34" s="795">
        <f>SUM(AI13:AI32)</f>
        <v>2607.2724416666665</v>
      </c>
      <c r="AJ34" s="662">
        <f>SUM(AJ13:AJ32)</f>
        <v>2.9727056059023454E-2</v>
      </c>
      <c r="AK34" s="213"/>
      <c r="AL34" s="795">
        <f>SUM(AL13:AL32)</f>
        <v>2753.7351166666667</v>
      </c>
      <c r="AM34" s="662">
        <f>SUM(AM13:AM32)</f>
        <v>2.8251773540424865E-2</v>
      </c>
      <c r="AN34" s="213"/>
      <c r="AO34" s="213"/>
      <c r="AP34" s="795">
        <f>SUM(AP13:AP32)</f>
        <v>31317.920287500001</v>
      </c>
      <c r="AQ34" s="662">
        <f>SUM(AQ13:AQ32)</f>
        <v>2.9698518880748918E-2</v>
      </c>
      <c r="AR34" s="213"/>
      <c r="AS34" s="213"/>
      <c r="AT34" s="213"/>
      <c r="AU34" s="251"/>
    </row>
    <row r="35" spans="2:69" ht="14" thickTop="1" x14ac:dyDescent="0.15">
      <c r="L35" s="314"/>
      <c r="O35" s="314"/>
      <c r="R35" s="314"/>
      <c r="U35" s="314"/>
      <c r="X35" s="314"/>
      <c r="AA35" s="314"/>
      <c r="AD35" s="314"/>
      <c r="AG35" s="314"/>
      <c r="AJ35" s="314"/>
      <c r="AM35" s="314"/>
      <c r="AQ35" s="314"/>
    </row>
    <row r="36" spans="2:69" x14ac:dyDescent="0.15">
      <c r="R36" s="314"/>
      <c r="U36" s="314"/>
      <c r="X36" s="314"/>
      <c r="AD36" s="314"/>
      <c r="AG36" s="314"/>
      <c r="AJ36" s="314"/>
      <c r="AM36" s="314"/>
    </row>
    <row r="37" spans="2:69" x14ac:dyDescent="0.15">
      <c r="U37" s="314"/>
      <c r="AG37" s="314"/>
      <c r="AJ37" s="314"/>
      <c r="AM37" s="314"/>
    </row>
    <row r="38" spans="2:69" x14ac:dyDescent="0.15">
      <c r="C38" s="161" t="s">
        <v>2</v>
      </c>
      <c r="E38" s="161" t="s">
        <v>2</v>
      </c>
      <c r="G38" s="161" t="s">
        <v>2</v>
      </c>
      <c r="H38" s="161" t="s">
        <v>2</v>
      </c>
      <c r="U38" s="314"/>
      <c r="AG38" s="314"/>
      <c r="AJ38" s="314"/>
      <c r="AM38" s="314"/>
    </row>
    <row r="39" spans="2:69" x14ac:dyDescent="0.15">
      <c r="H39" s="161" t="s">
        <v>2</v>
      </c>
      <c r="AG39" s="314"/>
      <c r="AJ39" s="314"/>
      <c r="AM39" s="314"/>
    </row>
    <row r="40" spans="2:69" x14ac:dyDescent="0.15">
      <c r="H40" s="161" t="s">
        <v>2</v>
      </c>
      <c r="AM40" s="314"/>
    </row>
    <row r="41" spans="2:69" x14ac:dyDescent="0.15">
      <c r="H41" s="161" t="s">
        <v>2</v>
      </c>
      <c r="BB41" s="170"/>
      <c r="BC41" s="170"/>
      <c r="BD41" s="170"/>
      <c r="BE41" s="170"/>
      <c r="BF41" s="170"/>
      <c r="BG41" s="170"/>
      <c r="BH41" s="170"/>
      <c r="BI41" s="170"/>
      <c r="BJ41" s="170"/>
      <c r="BK41" s="170"/>
      <c r="BL41" s="170"/>
      <c r="BM41" s="170"/>
      <c r="BN41" s="170"/>
      <c r="BO41" s="170"/>
      <c r="BP41" s="170"/>
      <c r="BQ41" s="170"/>
    </row>
    <row r="42" spans="2:69" x14ac:dyDescent="0.15">
      <c r="H42" s="161" t="s">
        <v>2</v>
      </c>
    </row>
    <row r="43" spans="2:69" x14ac:dyDescent="0.15">
      <c r="H43" s="161" t="s">
        <v>2</v>
      </c>
    </row>
    <row r="53" spans="8:8" x14ac:dyDescent="0.15">
      <c r="H53" s="663"/>
    </row>
  </sheetData>
  <sheetProtection algorithmName="SHA-512" hashValue="+HVcoyl2W5ohmsHoTfLmefi/98CdDlGgesDmG8UF2DmUcjCAx0TMNiKN+V04Lw//j0gfYKU9eT5UdAlk8OaBtQ==" saltValue="1s0PGm+D5tXQiPJMq0AbCw==" spinCount="100000" sheet="1" objects="1" scenarios="1"/>
  <mergeCells count="9">
    <mergeCell ref="B9:C9"/>
    <mergeCell ref="AS2:AS8"/>
    <mergeCell ref="BC2:BC8"/>
    <mergeCell ref="B2:C2"/>
    <mergeCell ref="B3:C3"/>
    <mergeCell ref="B4:C4"/>
    <mergeCell ref="B6:C6"/>
    <mergeCell ref="B7:C7"/>
    <mergeCell ref="B8:C8"/>
  </mergeCells>
  <hyperlinks>
    <hyperlink ref="C11" r:id="rId1" xr:uid="{1D16042E-AFD4-DC41-BAB2-2A3F78E96027}"/>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ignoredErrors>
    <ignoredError sqref="E13 H13 K13 N13 Q13 T13 W13 Z13 AC13 AF13 AI13 AL13 E17 H17 K17 N17 Q17 T17 W17 Z17 AC17 AF17 AI17 AL17 E23 H23 K23 N23 Q23 T23 W23 Z23 AC23 AF23 AI23 AL23 E30 H30 K30 N30 Q30 T30 W30 Z30 AC30 AF30 AI30 AL30" unlocked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B4539-1901-724F-A92C-C69BFDD687E5}">
  <sheetPr>
    <tabColor theme="1"/>
    <pageSetUpPr fitToPage="1"/>
  </sheetPr>
  <dimension ref="B1:BQ43"/>
  <sheetViews>
    <sheetView zoomScale="125" zoomScaleNormal="125" zoomScalePageLayoutView="125" workbookViewId="0"/>
  </sheetViews>
  <sheetFormatPr baseColWidth="10" defaultRowHeight="13" x14ac:dyDescent="0.15"/>
  <cols>
    <col min="1" max="1" width="2.1640625" style="161" customWidth="1"/>
    <col min="2" max="2" width="5.1640625" style="161" customWidth="1"/>
    <col min="3" max="3" width="46.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832031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1430" t="str">
        <f>'Coût marchandises vendues'!B2</f>
        <v>Les Multiples Plaisirs gourmands</v>
      </c>
      <c r="C2" s="1431"/>
      <c r="AS2" s="1388" t="s">
        <v>42</v>
      </c>
      <c r="AT2" s="366"/>
      <c r="AU2" s="366"/>
      <c r="AV2" s="366"/>
      <c r="AW2" s="366"/>
      <c r="AX2" s="366"/>
      <c r="AY2" s="366"/>
      <c r="AZ2" s="366"/>
      <c r="BA2" s="366"/>
      <c r="BB2" s="366"/>
      <c r="BC2" s="1391" t="s">
        <v>43</v>
      </c>
    </row>
    <row r="3" spans="2:56" ht="20" customHeight="1" x14ac:dyDescent="0.2">
      <c r="B3" s="1432" t="str">
        <f>'Coût marchandises vendues'!B3</f>
        <v xml:space="preserve">États des résultats </v>
      </c>
      <c r="C3" s="1433"/>
      <c r="AS3" s="1389"/>
      <c r="AT3" s="367"/>
      <c r="AU3" s="367"/>
      <c r="AV3" s="367"/>
      <c r="AW3" s="367"/>
      <c r="AX3" s="367"/>
      <c r="AY3" s="367"/>
      <c r="AZ3" s="367"/>
      <c r="BA3" s="367"/>
      <c r="BB3" s="367"/>
      <c r="BC3" s="1392"/>
    </row>
    <row r="4" spans="2:56" ht="20" customHeight="1" thickBot="1" x14ac:dyDescent="0.3">
      <c r="B4" s="1434" t="str">
        <f>'Coût marchandises vendues'!B4</f>
        <v>Pour la période du 1er janvier 2021 au 31 décembre 2021</v>
      </c>
      <c r="C4" s="1435"/>
      <c r="AS4" s="1389"/>
      <c r="AT4" s="368" t="str">
        <f>'Formule pour le calcul D'!BA103</f>
        <v>Coût annuel</v>
      </c>
      <c r="AU4" s="368" t="s">
        <v>44</v>
      </c>
      <c r="AV4" s="368" t="str">
        <f>'Formule pour le calcul D'!BC103</f>
        <v>Achalandage annuelle</v>
      </c>
      <c r="AW4" s="368" t="s">
        <v>45</v>
      </c>
      <c r="AX4" s="368" t="s">
        <v>46</v>
      </c>
      <c r="AY4" s="368" t="str">
        <f>'Formule pour le calcul D'!BF103</f>
        <v>Um/A</v>
      </c>
      <c r="AZ4" s="368" t="s">
        <v>45</v>
      </c>
      <c r="BA4" s="368" t="str">
        <f>'Formule pour le calcul D'!BH103</f>
        <v>CmO</v>
      </c>
      <c r="BB4" s="368" t="s">
        <v>49</v>
      </c>
      <c r="BC4" s="1392"/>
    </row>
    <row r="5" spans="2:56" ht="21" thickTop="1" thickBot="1" x14ac:dyDescent="0.3">
      <c r="AS5" s="1389"/>
      <c r="AT5" s="369" t="s">
        <v>2</v>
      </c>
      <c r="AU5" s="370"/>
      <c r="AV5" s="369"/>
      <c r="AW5" s="370"/>
      <c r="AX5" s="370"/>
      <c r="AY5" s="370"/>
      <c r="AZ5" s="370"/>
      <c r="BA5" s="370"/>
      <c r="BB5" s="370"/>
      <c r="BC5" s="1392"/>
    </row>
    <row r="6" spans="2:56" ht="27" thickTop="1" x14ac:dyDescent="0.3">
      <c r="B6" s="1441" t="str">
        <f>'État des Résultats'!C6</f>
        <v>Nb de places</v>
      </c>
      <c r="C6" s="1442"/>
      <c r="E6" s="637" t="str">
        <f>'Coût d''occupation '!E6</f>
        <v>Coût / place / jour</v>
      </c>
      <c r="F6" s="638">
        <f>+E24/$B$7/31</f>
        <v>0.10752688172043011</v>
      </c>
      <c r="G6" s="170"/>
      <c r="H6" s="637" t="str">
        <f>+E6</f>
        <v>Coût / place / jour</v>
      </c>
      <c r="I6" s="638">
        <f>+H24/$B$7/28</f>
        <v>0.11904761904761905</v>
      </c>
      <c r="J6" s="170"/>
      <c r="K6" s="637" t="str">
        <f>+H6</f>
        <v>Coût / place / jour</v>
      </c>
      <c r="L6" s="638">
        <f>+K24/$B$7/31</f>
        <v>0.10752688172043011</v>
      </c>
      <c r="M6" s="170"/>
      <c r="N6" s="637" t="str">
        <f>+K6</f>
        <v>Coût / place / jour</v>
      </c>
      <c r="O6" s="638">
        <f>+N24/$B$7/30</f>
        <v>0.11111111111111112</v>
      </c>
      <c r="P6" s="422"/>
      <c r="Q6" s="637" t="str">
        <f>+N6</f>
        <v>Coût / place / jour</v>
      </c>
      <c r="R6" s="638">
        <f>+Q24/$B$7/31</f>
        <v>0.10752688172043011</v>
      </c>
      <c r="S6" s="422"/>
      <c r="T6" s="637" t="str">
        <f>+Q6</f>
        <v>Coût / place / jour</v>
      </c>
      <c r="U6" s="638">
        <f>+T24/$B$7/30</f>
        <v>0.11111111111111112</v>
      </c>
      <c r="V6" s="170"/>
      <c r="W6" s="637" t="str">
        <f>+T6</f>
        <v>Coût / place / jour</v>
      </c>
      <c r="X6" s="638">
        <f>+W24/$B$7/31</f>
        <v>0.10752688172043011</v>
      </c>
      <c r="Y6" s="170"/>
      <c r="Z6" s="637" t="str">
        <f>+W6</f>
        <v>Coût / place / jour</v>
      </c>
      <c r="AA6" s="638">
        <f>+Z24/$B$7/31</f>
        <v>0.10752688172043011</v>
      </c>
      <c r="AB6" s="170"/>
      <c r="AC6" s="637" t="str">
        <f>+Z6</f>
        <v>Coût / place / jour</v>
      </c>
      <c r="AD6" s="638">
        <f>+AC24/$B$7/30</f>
        <v>0.11111111111111112</v>
      </c>
      <c r="AE6" s="170"/>
      <c r="AF6" s="637" t="str">
        <f>+AC6</f>
        <v>Coût / place / jour</v>
      </c>
      <c r="AG6" s="638">
        <f>+AF24/$B$7/31</f>
        <v>0.10752688172043011</v>
      </c>
      <c r="AH6" s="170"/>
      <c r="AI6" s="637" t="str">
        <f>+AF6</f>
        <v>Coût / place / jour</v>
      </c>
      <c r="AJ6" s="638">
        <f>+AI24/$B$7/30</f>
        <v>0.11111111111111112</v>
      </c>
      <c r="AK6" s="170"/>
      <c r="AL6" s="637" t="str">
        <f>+AI6</f>
        <v>Coût / place / jour</v>
      </c>
      <c r="AM6" s="638">
        <f>+AL24/$B$7/31</f>
        <v>0.10752688172043011</v>
      </c>
      <c r="AN6" s="170"/>
      <c r="AO6" s="170"/>
      <c r="AP6" s="639" t="str">
        <f>+AL6</f>
        <v>Coût / place / jour</v>
      </c>
      <c r="AQ6" s="640">
        <f>+AP24/$B$7/365</f>
        <v>0.1095890410958904</v>
      </c>
      <c r="AS6" s="1389"/>
      <c r="AT6" s="629" t="str">
        <f>'Formule pour le calcul D'!BA105</f>
        <v xml:space="preserve">C </v>
      </c>
      <c r="AU6" s="372"/>
      <c r="AV6" s="371" t="str">
        <f>'Formule pour le calcul D'!BC105</f>
        <v>A</v>
      </c>
      <c r="AW6" s="372"/>
      <c r="AX6" s="372"/>
      <c r="AY6" s="371" t="str">
        <f>AY4</f>
        <v>Um/A</v>
      </c>
      <c r="AZ6" s="372"/>
      <c r="BA6" s="371" t="str">
        <f>BA4</f>
        <v>CmO</v>
      </c>
      <c r="BB6" s="372"/>
      <c r="BC6" s="1392"/>
    </row>
    <row r="7" spans="2:56" ht="21" x14ac:dyDescent="0.25">
      <c r="B7" s="1443">
        <f>'État des Résultats'!C7</f>
        <v>30</v>
      </c>
      <c r="C7" s="1444"/>
      <c r="E7" s="424">
        <f>+E24/$AP24</f>
        <v>8.3333333333333329E-2</v>
      </c>
      <c r="F7" s="641"/>
      <c r="H7" s="424">
        <f>+H24/$AP24</f>
        <v>8.3333333333333329E-2</v>
      </c>
      <c r="I7" s="641"/>
      <c r="K7" s="424">
        <f>+K24/$AP24</f>
        <v>8.3333333333333329E-2</v>
      </c>
      <c r="L7" s="425"/>
      <c r="N7" s="424">
        <f>+N24/$AP24</f>
        <v>8.3333333333333329E-2</v>
      </c>
      <c r="O7" s="425"/>
      <c r="P7" s="642"/>
      <c r="Q7" s="424">
        <f>+Q24/$AP24</f>
        <v>8.3333333333333329E-2</v>
      </c>
      <c r="R7" s="425"/>
      <c r="S7" s="642"/>
      <c r="T7" s="424">
        <f>+T24/$AP24</f>
        <v>8.3333333333333329E-2</v>
      </c>
      <c r="U7" s="425"/>
      <c r="W7" s="424">
        <f>+W24/$AP24</f>
        <v>8.3333333333333329E-2</v>
      </c>
      <c r="X7" s="425"/>
      <c r="Z7" s="424">
        <f>+Z24/$AP24</f>
        <v>8.3333333333333329E-2</v>
      </c>
      <c r="AA7" s="425"/>
      <c r="AC7" s="424">
        <f>+AC24/$AP24</f>
        <v>8.3333333333333329E-2</v>
      </c>
      <c r="AD7" s="425"/>
      <c r="AF7" s="424">
        <f>+AF24/$AP24</f>
        <v>8.3333333333333329E-2</v>
      </c>
      <c r="AG7" s="425"/>
      <c r="AI7" s="424">
        <f>+AI24/$AP24</f>
        <v>8.3333333333333329E-2</v>
      </c>
      <c r="AJ7" s="425"/>
      <c r="AL7" s="424">
        <f>+AL24/$AP24</f>
        <v>8.3333333333333329E-2</v>
      </c>
      <c r="AM7" s="425"/>
      <c r="AP7" s="643">
        <f>+AP24/$AP24</f>
        <v>1</v>
      </c>
      <c r="AQ7" s="644" t="s">
        <v>136</v>
      </c>
      <c r="AS7" s="1389"/>
      <c r="AT7" s="630">
        <f>AP24</f>
        <v>1200</v>
      </c>
      <c r="AU7" s="368" t="s">
        <v>44</v>
      </c>
      <c r="AV7" s="631">
        <f>'Formule pour le calcul D'!G114</f>
        <v>52000</v>
      </c>
      <c r="AW7" s="368" t="s">
        <v>45</v>
      </c>
      <c r="AX7" s="368" t="s">
        <v>46</v>
      </c>
      <c r="AY7" s="632">
        <f>'Formule pour le calcul D'!J106</f>
        <v>3.1499999999999995</v>
      </c>
      <c r="AZ7" s="368" t="s">
        <v>45</v>
      </c>
      <c r="BA7" s="633">
        <f>AT7/AV7/AY7</f>
        <v>7.3260073260073277E-3</v>
      </c>
      <c r="BB7" s="368" t="s">
        <v>49</v>
      </c>
      <c r="BC7" s="1392"/>
    </row>
    <row r="8" spans="2:56" ht="17" thickBot="1" x14ac:dyDescent="0.25">
      <c r="B8" s="1445" t="s">
        <v>283</v>
      </c>
      <c r="C8" s="1444"/>
      <c r="E8" s="646" t="str">
        <f>'État des Résultats'!E8</f>
        <v>Pér.01</v>
      </c>
      <c r="F8" s="645" t="s">
        <v>138</v>
      </c>
      <c r="G8" s="382"/>
      <c r="H8" s="646" t="str">
        <f>'État des Résultats'!H8</f>
        <v>Pér.02</v>
      </c>
      <c r="I8" s="645" t="s">
        <v>138</v>
      </c>
      <c r="J8" s="382"/>
      <c r="K8" s="646" t="str">
        <f>'État des Résultats'!K8</f>
        <v>Pér.03</v>
      </c>
      <c r="L8" s="645" t="s">
        <v>138</v>
      </c>
      <c r="M8" s="382"/>
      <c r="N8" s="646" t="str">
        <f>'État des Résultats'!N8</f>
        <v>Pér.04</v>
      </c>
      <c r="O8" s="645" t="s">
        <v>138</v>
      </c>
      <c r="P8" s="426"/>
      <c r="Q8" s="646" t="str">
        <f>'État des Résultats'!Q8</f>
        <v>Pér.05</v>
      </c>
      <c r="R8" s="645" t="s">
        <v>138</v>
      </c>
      <c r="S8" s="426"/>
      <c r="T8" s="646" t="str">
        <f>'État des Résultats'!T8</f>
        <v>Pér.06</v>
      </c>
      <c r="U8" s="645" t="s">
        <v>138</v>
      </c>
      <c r="V8" s="382"/>
      <c r="W8" s="646" t="str">
        <f>'État des Résultats'!W8</f>
        <v>Pér.07</v>
      </c>
      <c r="X8" s="645" t="s">
        <v>138</v>
      </c>
      <c r="Y8" s="382"/>
      <c r="Z8" s="646" t="str">
        <f>'État des Résultats'!Z8</f>
        <v>Pér.08</v>
      </c>
      <c r="AA8" s="645" t="s">
        <v>138</v>
      </c>
      <c r="AB8" s="382"/>
      <c r="AC8" s="646" t="str">
        <f>'État des Résultats'!AC8</f>
        <v>Pér.09</v>
      </c>
      <c r="AD8" s="645" t="s">
        <v>138</v>
      </c>
      <c r="AE8" s="382"/>
      <c r="AF8" s="646" t="str">
        <f>'État des Résultats'!AF8</f>
        <v>Pér.10</v>
      </c>
      <c r="AG8" s="645" t="s">
        <v>138</v>
      </c>
      <c r="AH8" s="382"/>
      <c r="AI8" s="646" t="str">
        <f>'État des Résultats'!AI8</f>
        <v>Pér.11</v>
      </c>
      <c r="AJ8" s="645" t="s">
        <v>138</v>
      </c>
      <c r="AK8" s="382"/>
      <c r="AL8" s="646" t="str">
        <f>'État des Résultats'!AL8</f>
        <v>Pér.12</v>
      </c>
      <c r="AM8" s="645" t="s">
        <v>138</v>
      </c>
      <c r="AN8" s="647" t="s">
        <v>2</v>
      </c>
      <c r="AO8" s="382"/>
      <c r="AP8" s="648" t="str">
        <f>'État des Résultats'!AP8</f>
        <v>Total</v>
      </c>
      <c r="AQ8" s="645" t="s">
        <v>138</v>
      </c>
      <c r="AS8" s="1390"/>
      <c r="AT8" s="373"/>
      <c r="AU8" s="373"/>
      <c r="AV8" s="373"/>
      <c r="AW8" s="373"/>
      <c r="AX8" s="373"/>
      <c r="AY8" s="373"/>
      <c r="AZ8" s="373"/>
      <c r="BA8" s="373"/>
      <c r="BB8" s="373"/>
      <c r="BC8" s="1393"/>
    </row>
    <row r="9" spans="2:56" ht="15" thickTop="1" thickBot="1" x14ac:dyDescent="0.2">
      <c r="B9" s="1439">
        <f>AP24/$B$7</f>
        <v>40</v>
      </c>
      <c r="C9" s="1440"/>
      <c r="E9" s="692" t="s">
        <v>284</v>
      </c>
      <c r="F9" s="693"/>
      <c r="G9" s="694"/>
      <c r="H9" s="695" t="s">
        <v>285</v>
      </c>
      <c r="I9" s="696"/>
      <c r="J9" s="697"/>
      <c r="K9" s="695" t="s">
        <v>286</v>
      </c>
      <c r="L9" s="696"/>
      <c r="M9" s="697"/>
      <c r="N9" s="692" t="s">
        <v>287</v>
      </c>
      <c r="O9" s="698"/>
      <c r="P9" s="699"/>
      <c r="Q9" s="692" t="s">
        <v>288</v>
      </c>
      <c r="R9" s="698"/>
      <c r="S9" s="699"/>
      <c r="T9" s="695" t="s">
        <v>289</v>
      </c>
      <c r="U9" s="696"/>
      <c r="V9" s="697"/>
      <c r="W9" s="695" t="s">
        <v>290</v>
      </c>
      <c r="X9" s="696"/>
      <c r="Y9" s="697"/>
      <c r="Z9" s="695" t="s">
        <v>291</v>
      </c>
      <c r="AA9" s="696"/>
      <c r="AB9" s="697"/>
      <c r="AC9" s="695" t="s">
        <v>292</v>
      </c>
      <c r="AD9" s="696"/>
      <c r="AE9" s="697"/>
      <c r="AF9" s="695" t="s">
        <v>293</v>
      </c>
      <c r="AG9" s="696"/>
      <c r="AH9" s="697"/>
      <c r="AI9" s="695" t="s">
        <v>294</v>
      </c>
      <c r="AJ9" s="696"/>
      <c r="AK9" s="697"/>
      <c r="AL9" s="695" t="s">
        <v>295</v>
      </c>
      <c r="AM9" s="696"/>
      <c r="AN9" s="697"/>
      <c r="AO9" s="697"/>
      <c r="AP9" s="700" t="s">
        <v>296</v>
      </c>
      <c r="AQ9" s="701"/>
      <c r="AR9" s="702"/>
      <c r="AS9" s="702"/>
      <c r="AT9" s="649"/>
      <c r="AU9" s="649"/>
      <c r="AV9" s="649"/>
      <c r="AW9" s="649"/>
      <c r="AX9" s="649"/>
      <c r="AY9" s="649"/>
      <c r="AZ9" s="649"/>
    </row>
    <row r="10" spans="2:56" ht="15" thickTop="1" thickBot="1" x14ac:dyDescent="0.2">
      <c r="D10" s="251"/>
      <c r="G10" s="388"/>
      <c r="J10" s="388"/>
      <c r="M10" s="388"/>
      <c r="P10" s="433"/>
      <c r="S10" s="433"/>
      <c r="V10" s="388"/>
      <c r="Y10" s="187"/>
      <c r="AB10" s="388"/>
      <c r="AE10" s="388"/>
      <c r="AH10" s="388"/>
      <c r="AK10" s="388"/>
      <c r="AN10" s="388"/>
      <c r="AO10" s="388"/>
      <c r="AR10" s="170"/>
      <c r="AS10" s="170"/>
      <c r="AT10" s="170"/>
    </row>
    <row r="11" spans="2:56" ht="14" thickTop="1" x14ac:dyDescent="0.15">
      <c r="B11" s="650"/>
      <c r="C11" s="711" t="s">
        <v>297</v>
      </c>
      <c r="E11" s="650"/>
      <c r="F11" s="651"/>
      <c r="H11" s="650"/>
      <c r="I11" s="651"/>
      <c r="K11" s="650"/>
      <c r="L11" s="651"/>
      <c r="N11" s="650"/>
      <c r="O11" s="651"/>
      <c r="Q11" s="650"/>
      <c r="R11" s="651"/>
      <c r="T11" s="650"/>
      <c r="U11" s="651"/>
      <c r="W11" s="650"/>
      <c r="X11" s="651"/>
      <c r="Z11" s="650"/>
      <c r="AA11" s="651"/>
      <c r="AC11" s="650"/>
      <c r="AD11" s="651"/>
      <c r="AF11" s="650"/>
      <c r="AG11" s="651"/>
      <c r="AI11" s="650"/>
      <c r="AJ11" s="651"/>
      <c r="AL11" s="650"/>
      <c r="AM11" s="651"/>
      <c r="AP11" s="613"/>
      <c r="AQ11" s="615"/>
      <c r="AR11" s="187"/>
      <c r="AS11" s="187"/>
      <c r="AT11" s="187"/>
      <c r="AU11" s="187"/>
      <c r="AV11" s="187"/>
      <c r="AW11" s="187"/>
      <c r="AX11" s="187"/>
      <c r="AY11" s="187"/>
      <c r="AZ11" s="187"/>
      <c r="BA11" s="187"/>
      <c r="BB11" s="187"/>
      <c r="BC11" s="187"/>
      <c r="BD11" s="187"/>
    </row>
    <row r="12" spans="2:56" x14ac:dyDescent="0.15">
      <c r="B12" s="190"/>
      <c r="C12" s="652"/>
      <c r="E12" s="190"/>
      <c r="F12" s="391"/>
      <c r="H12" s="190"/>
      <c r="I12" s="391"/>
      <c r="K12" s="190"/>
      <c r="L12" s="391"/>
      <c r="N12" s="190"/>
      <c r="O12" s="391"/>
      <c r="Q12" s="190"/>
      <c r="R12" s="391"/>
      <c r="T12" s="190"/>
      <c r="U12" s="391"/>
      <c r="W12" s="190"/>
      <c r="X12" s="391"/>
      <c r="Z12" s="190"/>
      <c r="AA12" s="391"/>
      <c r="AC12" s="190"/>
      <c r="AD12" s="391"/>
      <c r="AF12" s="190"/>
      <c r="AG12" s="391"/>
      <c r="AI12" s="190"/>
      <c r="AJ12" s="391"/>
      <c r="AL12" s="190"/>
      <c r="AM12" s="191"/>
      <c r="AP12" s="193"/>
      <c r="AQ12" s="494"/>
      <c r="AR12" s="187"/>
      <c r="AS12" s="187"/>
      <c r="AT12" s="187"/>
      <c r="AU12" s="187"/>
      <c r="AV12" s="187"/>
      <c r="AW12" s="187"/>
      <c r="AX12" s="187"/>
      <c r="AY12" s="187"/>
      <c r="AZ12" s="187"/>
      <c r="BA12" s="187"/>
      <c r="BB12" s="187"/>
      <c r="BC12" s="187"/>
      <c r="BD12" s="187"/>
    </row>
    <row r="13" spans="2:56" x14ac:dyDescent="0.15">
      <c r="B13" s="653">
        <v>7505</v>
      </c>
      <c r="C13" s="391" t="s">
        <v>298</v>
      </c>
      <c r="E13" s="793">
        <v>0</v>
      </c>
      <c r="F13" s="654">
        <f>E13/'État des Résultats'!E$14</f>
        <v>0</v>
      </c>
      <c r="H13" s="793">
        <v>0</v>
      </c>
      <c r="I13" s="654">
        <f>H13/'État des Résultats'!H$14</f>
        <v>0</v>
      </c>
      <c r="K13" s="793">
        <v>0</v>
      </c>
      <c r="L13" s="654">
        <f>K13/'État des Résultats'!K$14</f>
        <v>0</v>
      </c>
      <c r="N13" s="793">
        <v>0</v>
      </c>
      <c r="O13" s="654">
        <f>N13/'État des Résultats'!N$14</f>
        <v>0</v>
      </c>
      <c r="Q13" s="793">
        <v>0</v>
      </c>
      <c r="R13" s="654">
        <f>Q13/'État des Résultats'!Q$14</f>
        <v>0</v>
      </c>
      <c r="T13" s="793">
        <v>0</v>
      </c>
      <c r="U13" s="654">
        <f>T13/'État des Résultats'!T$14</f>
        <v>0</v>
      </c>
      <c r="W13" s="793">
        <v>0</v>
      </c>
      <c r="X13" s="654">
        <f>W13/'État des Résultats'!W$14</f>
        <v>0</v>
      </c>
      <c r="Z13" s="793">
        <v>0</v>
      </c>
      <c r="AA13" s="654">
        <f>Z13/'État des Résultats'!Z$14</f>
        <v>0</v>
      </c>
      <c r="AC13" s="793">
        <v>0</v>
      </c>
      <c r="AD13" s="654">
        <f>AC13/'État des Résultats'!AC$14</f>
        <v>0</v>
      </c>
      <c r="AF13" s="793">
        <v>0</v>
      </c>
      <c r="AG13" s="654">
        <f>AF13/'État des Résultats'!AF$14</f>
        <v>0</v>
      </c>
      <c r="AI13" s="793">
        <v>0</v>
      </c>
      <c r="AJ13" s="654">
        <f>AI13/'État des Résultats'!AI$14</f>
        <v>0</v>
      </c>
      <c r="AL13" s="793">
        <v>0</v>
      </c>
      <c r="AM13" s="654">
        <f>AL13/'État des Résultats'!AL$14</f>
        <v>0</v>
      </c>
      <c r="AP13" s="796">
        <f>SUM(+$AL13+$AI13+$AF13+$AC13+$Z13+$W13+$T13+$Q13+$N13+$K13+$H13+$E13)</f>
        <v>0</v>
      </c>
      <c r="AQ13" s="656">
        <f t="shared" ref="AQ13:AQ22" si="0">AP13/AP$24</f>
        <v>0</v>
      </c>
    </row>
    <row r="14" spans="2:56" x14ac:dyDescent="0.15">
      <c r="B14" s="653">
        <v>7510</v>
      </c>
      <c r="C14" s="391" t="s">
        <v>299</v>
      </c>
      <c r="E14" s="793">
        <v>0</v>
      </c>
      <c r="F14" s="654">
        <f>E14/'État des Résultats'!E$14</f>
        <v>0</v>
      </c>
      <c r="H14" s="793">
        <v>0</v>
      </c>
      <c r="I14" s="654">
        <f>H14/'État des Résultats'!H$14</f>
        <v>0</v>
      </c>
      <c r="K14" s="793">
        <v>0</v>
      </c>
      <c r="L14" s="654">
        <f>K14/'État des Résultats'!K$14</f>
        <v>0</v>
      </c>
      <c r="N14" s="793">
        <v>0</v>
      </c>
      <c r="O14" s="654">
        <f>N14/'État des Résultats'!N$14</f>
        <v>0</v>
      </c>
      <c r="Q14" s="793">
        <v>0</v>
      </c>
      <c r="R14" s="654">
        <f>Q14/'État des Résultats'!Q$14</f>
        <v>0</v>
      </c>
      <c r="T14" s="793">
        <v>0</v>
      </c>
      <c r="U14" s="654">
        <f>T14/'État des Résultats'!T$14</f>
        <v>0</v>
      </c>
      <c r="W14" s="793">
        <v>0</v>
      </c>
      <c r="X14" s="654">
        <f>W14/'État des Résultats'!W$14</f>
        <v>0</v>
      </c>
      <c r="Z14" s="793">
        <v>0</v>
      </c>
      <c r="AA14" s="654">
        <f>Z14/'État des Résultats'!Z$14</f>
        <v>0</v>
      </c>
      <c r="AC14" s="793">
        <v>0</v>
      </c>
      <c r="AD14" s="654">
        <f>AC14/'État des Résultats'!AC$14</f>
        <v>0</v>
      </c>
      <c r="AF14" s="793">
        <v>0</v>
      </c>
      <c r="AG14" s="654">
        <f>AF14/'État des Résultats'!AF$14</f>
        <v>0</v>
      </c>
      <c r="AI14" s="793">
        <v>0</v>
      </c>
      <c r="AJ14" s="654">
        <f>AI14/'État des Résultats'!AI$14</f>
        <v>0</v>
      </c>
      <c r="AL14" s="793">
        <v>0</v>
      </c>
      <c r="AM14" s="654">
        <f>AL14/'État des Résultats'!AL$14</f>
        <v>0</v>
      </c>
      <c r="AP14" s="796">
        <f>SUM(+$AL14+$AI14+$AF14+$AC14+$Z14+$W14+$T14+$Q14+$N14+$K14+$H14+$E14)</f>
        <v>0</v>
      </c>
      <c r="AQ14" s="703">
        <f t="shared" si="0"/>
        <v>0</v>
      </c>
    </row>
    <row r="15" spans="2:56" x14ac:dyDescent="0.15">
      <c r="B15" s="653">
        <v>7520</v>
      </c>
      <c r="C15" s="391" t="s">
        <v>536</v>
      </c>
      <c r="E15" s="793">
        <v>100</v>
      </c>
      <c r="F15" s="654">
        <f>E15/'État des Résultats'!E$14</f>
        <v>1.3701132626963827E-3</v>
      </c>
      <c r="G15" s="658" t="s">
        <v>2</v>
      </c>
      <c r="H15" s="793">
        <v>100</v>
      </c>
      <c r="I15" s="654">
        <f>H15/'État des Résultats'!H$14</f>
        <v>1.4135441084659511E-3</v>
      </c>
      <c r="K15" s="793">
        <v>100</v>
      </c>
      <c r="L15" s="654">
        <f>K15/'État des Résultats'!K$14</f>
        <v>1.2685123521390289E-3</v>
      </c>
      <c r="N15" s="793">
        <v>100</v>
      </c>
      <c r="O15" s="654">
        <f>N15/'État des Résultats'!N$14</f>
        <v>1.2086342291196426E-3</v>
      </c>
      <c r="Q15" s="793">
        <v>100</v>
      </c>
      <c r="R15" s="654">
        <f>Q15/'État des Résultats'!Q$14</f>
        <v>1.1225729971800966E-3</v>
      </c>
      <c r="T15" s="793">
        <v>100</v>
      </c>
      <c r="U15" s="654">
        <f>T15/'État des Résultats'!T$14</f>
        <v>1.0923386245366708E-3</v>
      </c>
      <c r="W15" s="793">
        <v>100</v>
      </c>
      <c r="X15" s="654">
        <f>W15/'État des Résultats'!W$14</f>
        <v>1.0169654757000929E-3</v>
      </c>
      <c r="Z15" s="793">
        <v>100</v>
      </c>
      <c r="AA15" s="654">
        <f>Z15/'État des Résultats'!Z$14</f>
        <v>1.0037171661531315E-3</v>
      </c>
      <c r="AC15" s="793">
        <v>100</v>
      </c>
      <c r="AD15" s="654">
        <f>AC15/'État des Résultats'!AC$14</f>
        <v>1.0976879727536281E-3</v>
      </c>
      <c r="AF15" s="793">
        <v>100</v>
      </c>
      <c r="AG15" s="654">
        <f>AF15/'État des Résultats'!AF$14</f>
        <v>1.0597864576211971E-3</v>
      </c>
      <c r="AI15" s="793">
        <v>100</v>
      </c>
      <c r="AJ15" s="654">
        <f>AI15/'État des Résultats'!AI$14</f>
        <v>1.1401591787631063E-3</v>
      </c>
      <c r="AL15" s="793">
        <v>100</v>
      </c>
      <c r="AM15" s="654">
        <f>AL15/'État des Résultats'!AL$14</f>
        <v>1.0259437579683767E-3</v>
      </c>
      <c r="AP15" s="796">
        <f t="shared" ref="AP15:AP22" si="1">SUM(+$AL15+$AI15+$AF15+$AC15+$Z15+$W15+$T15+$Q15+$N15+$K15+$H15+$E15)</f>
        <v>1200</v>
      </c>
      <c r="AQ15" s="703">
        <f t="shared" si="0"/>
        <v>1</v>
      </c>
    </row>
    <row r="16" spans="2:56" x14ac:dyDescent="0.15">
      <c r="B16" s="653">
        <v>7525</v>
      </c>
      <c r="C16" s="391" t="s">
        <v>300</v>
      </c>
      <c r="E16" s="793">
        <v>0</v>
      </c>
      <c r="F16" s="654">
        <f>E16/'État des Résultats'!E$14</f>
        <v>0</v>
      </c>
      <c r="H16" s="793">
        <v>0</v>
      </c>
      <c r="I16" s="654">
        <f>H16/'État des Résultats'!H$14</f>
        <v>0</v>
      </c>
      <c r="K16" s="793">
        <v>0</v>
      </c>
      <c r="L16" s="654">
        <f>K16/'État des Résultats'!K$14</f>
        <v>0</v>
      </c>
      <c r="N16" s="793">
        <v>0</v>
      </c>
      <c r="O16" s="654">
        <f>N16/'État des Résultats'!N$14</f>
        <v>0</v>
      </c>
      <c r="Q16" s="793">
        <v>0</v>
      </c>
      <c r="R16" s="654">
        <f>Q16/'État des Résultats'!Q$14</f>
        <v>0</v>
      </c>
      <c r="T16" s="793">
        <v>0</v>
      </c>
      <c r="U16" s="654">
        <f>T16/'État des Résultats'!T$14</f>
        <v>0</v>
      </c>
      <c r="W16" s="793">
        <v>0</v>
      </c>
      <c r="X16" s="654">
        <f>W16/'État des Résultats'!W$14</f>
        <v>0</v>
      </c>
      <c r="Z16" s="793">
        <v>0</v>
      </c>
      <c r="AA16" s="654">
        <f>Z16/'État des Résultats'!Z$14</f>
        <v>0</v>
      </c>
      <c r="AC16" s="793">
        <v>0</v>
      </c>
      <c r="AD16" s="654">
        <f>AC16/'État des Résultats'!AC$14</f>
        <v>0</v>
      </c>
      <c r="AF16" s="793">
        <v>0</v>
      </c>
      <c r="AG16" s="654">
        <f>AF16/'État des Résultats'!AF$14</f>
        <v>0</v>
      </c>
      <c r="AI16" s="793">
        <v>0</v>
      </c>
      <c r="AJ16" s="654">
        <f>AI16/'État des Résultats'!AI$14</f>
        <v>0</v>
      </c>
      <c r="AL16" s="793">
        <v>0</v>
      </c>
      <c r="AM16" s="654">
        <f>AL16/'État des Résultats'!AL$14</f>
        <v>0</v>
      </c>
      <c r="AP16" s="796">
        <f t="shared" si="1"/>
        <v>0</v>
      </c>
      <c r="AQ16" s="703">
        <f t="shared" si="0"/>
        <v>0</v>
      </c>
    </row>
    <row r="17" spans="2:69" x14ac:dyDescent="0.15">
      <c r="B17" s="653">
        <v>7530</v>
      </c>
      <c r="C17" s="391" t="s">
        <v>301</v>
      </c>
      <c r="E17" s="793">
        <v>0</v>
      </c>
      <c r="F17" s="654">
        <f>E17/'État des Résultats'!E$14</f>
        <v>0</v>
      </c>
      <c r="H17" s="793">
        <v>0</v>
      </c>
      <c r="I17" s="654">
        <f>H17/'État des Résultats'!H$14</f>
        <v>0</v>
      </c>
      <c r="K17" s="793">
        <v>0</v>
      </c>
      <c r="L17" s="654">
        <f>K17/'État des Résultats'!K$14</f>
        <v>0</v>
      </c>
      <c r="N17" s="793">
        <v>0</v>
      </c>
      <c r="O17" s="654">
        <f>N17/'État des Résultats'!N$14</f>
        <v>0</v>
      </c>
      <c r="Q17" s="793">
        <v>0</v>
      </c>
      <c r="R17" s="654">
        <f>Q17/'État des Résultats'!Q$14</f>
        <v>0</v>
      </c>
      <c r="T17" s="793">
        <v>0</v>
      </c>
      <c r="U17" s="654">
        <f>T17/'État des Résultats'!T$14</f>
        <v>0</v>
      </c>
      <c r="W17" s="793">
        <v>0</v>
      </c>
      <c r="X17" s="654">
        <f>W17/'État des Résultats'!W$14</f>
        <v>0</v>
      </c>
      <c r="Z17" s="793">
        <v>0</v>
      </c>
      <c r="AA17" s="654">
        <f>Z17/'État des Résultats'!Z$14</f>
        <v>0</v>
      </c>
      <c r="AC17" s="793">
        <v>0</v>
      </c>
      <c r="AD17" s="654">
        <f>AC17/'État des Résultats'!AC$14</f>
        <v>0</v>
      </c>
      <c r="AF17" s="793">
        <v>0</v>
      </c>
      <c r="AG17" s="654">
        <f>AF17/'État des Résultats'!AF$14</f>
        <v>0</v>
      </c>
      <c r="AI17" s="793">
        <v>0</v>
      </c>
      <c r="AJ17" s="654">
        <f>AI17/'État des Résultats'!AI$14</f>
        <v>0</v>
      </c>
      <c r="AL17" s="793">
        <v>0</v>
      </c>
      <c r="AM17" s="654">
        <f>AL17/'État des Résultats'!AL$14</f>
        <v>0</v>
      </c>
      <c r="AP17" s="796">
        <f t="shared" si="1"/>
        <v>0</v>
      </c>
      <c r="AQ17" s="703">
        <f t="shared" si="0"/>
        <v>0</v>
      </c>
    </row>
    <row r="18" spans="2:69" x14ac:dyDescent="0.15">
      <c r="B18" s="653">
        <v>7535</v>
      </c>
      <c r="C18" s="391" t="s">
        <v>302</v>
      </c>
      <c r="E18" s="793">
        <v>0</v>
      </c>
      <c r="F18" s="654">
        <f>E18/'État des Résultats'!E$14</f>
        <v>0</v>
      </c>
      <c r="H18" s="793">
        <v>0</v>
      </c>
      <c r="I18" s="654">
        <f>H18/'État des Résultats'!H$14</f>
        <v>0</v>
      </c>
      <c r="K18" s="793">
        <v>0</v>
      </c>
      <c r="L18" s="654">
        <f>K18/'État des Résultats'!K$14</f>
        <v>0</v>
      </c>
      <c r="N18" s="793">
        <v>0</v>
      </c>
      <c r="O18" s="654">
        <f>N18/'État des Résultats'!N$14</f>
        <v>0</v>
      </c>
      <c r="Q18" s="793">
        <v>0</v>
      </c>
      <c r="R18" s="654">
        <f>Q18/'État des Résultats'!Q$14</f>
        <v>0</v>
      </c>
      <c r="T18" s="793">
        <v>0</v>
      </c>
      <c r="U18" s="654">
        <f>T18/'État des Résultats'!T$14</f>
        <v>0</v>
      </c>
      <c r="W18" s="793">
        <v>0</v>
      </c>
      <c r="X18" s="654">
        <f>W18/'État des Résultats'!W$14</f>
        <v>0</v>
      </c>
      <c r="Z18" s="793">
        <v>0</v>
      </c>
      <c r="AA18" s="654">
        <f>Z18/'État des Résultats'!Z$14</f>
        <v>0</v>
      </c>
      <c r="AC18" s="793">
        <v>0</v>
      </c>
      <c r="AD18" s="654">
        <f>AC18/'État des Résultats'!AC$14</f>
        <v>0</v>
      </c>
      <c r="AF18" s="793">
        <v>0</v>
      </c>
      <c r="AG18" s="654">
        <f>AF18/'État des Résultats'!AF$14</f>
        <v>0</v>
      </c>
      <c r="AI18" s="793">
        <v>0</v>
      </c>
      <c r="AJ18" s="654">
        <f>AI18/'État des Résultats'!AI$14</f>
        <v>0</v>
      </c>
      <c r="AL18" s="793">
        <v>0</v>
      </c>
      <c r="AM18" s="654">
        <f>AL18/'État des Résultats'!AL$14</f>
        <v>0</v>
      </c>
      <c r="AP18" s="796">
        <f t="shared" si="1"/>
        <v>0</v>
      </c>
      <c r="AQ18" s="703">
        <f t="shared" si="0"/>
        <v>0</v>
      </c>
      <c r="AS18" s="209"/>
    </row>
    <row r="19" spans="2:69" x14ac:dyDescent="0.15">
      <c r="B19" s="653">
        <v>7550</v>
      </c>
      <c r="C19" s="391" t="s">
        <v>303</v>
      </c>
      <c r="E19" s="793">
        <v>0</v>
      </c>
      <c r="F19" s="654">
        <f>E19/'État des Résultats'!E$14</f>
        <v>0</v>
      </c>
      <c r="H19" s="793">
        <v>0</v>
      </c>
      <c r="I19" s="654">
        <f>H19/'État des Résultats'!H$14</f>
        <v>0</v>
      </c>
      <c r="K19" s="793">
        <v>0</v>
      </c>
      <c r="L19" s="654">
        <f>K19/'État des Résultats'!K$14</f>
        <v>0</v>
      </c>
      <c r="N19" s="793">
        <v>0</v>
      </c>
      <c r="O19" s="654">
        <f>N19/'État des Résultats'!N$14</f>
        <v>0</v>
      </c>
      <c r="Q19" s="793">
        <v>0</v>
      </c>
      <c r="R19" s="654">
        <f>Q19/'État des Résultats'!Q$14</f>
        <v>0</v>
      </c>
      <c r="T19" s="793">
        <v>0</v>
      </c>
      <c r="U19" s="654">
        <f>T19/'État des Résultats'!T$14</f>
        <v>0</v>
      </c>
      <c r="W19" s="793">
        <v>0</v>
      </c>
      <c r="X19" s="654">
        <f>W19/'État des Résultats'!W$14</f>
        <v>0</v>
      </c>
      <c r="Z19" s="793">
        <v>0</v>
      </c>
      <c r="AA19" s="654">
        <f>Z19/'État des Résultats'!Z$14</f>
        <v>0</v>
      </c>
      <c r="AC19" s="793">
        <v>0</v>
      </c>
      <c r="AD19" s="654">
        <f>AC19/'État des Résultats'!AC$14</f>
        <v>0</v>
      </c>
      <c r="AF19" s="793">
        <v>0</v>
      </c>
      <c r="AG19" s="654">
        <f>AF19/'État des Résultats'!AF$14</f>
        <v>0</v>
      </c>
      <c r="AI19" s="793">
        <v>0</v>
      </c>
      <c r="AJ19" s="654">
        <f>AI19/'État des Résultats'!AI$14</f>
        <v>0</v>
      </c>
      <c r="AL19" s="793">
        <v>0</v>
      </c>
      <c r="AM19" s="654">
        <f>AL19/'État des Résultats'!AL$14</f>
        <v>0</v>
      </c>
      <c r="AP19" s="796">
        <f t="shared" si="1"/>
        <v>0</v>
      </c>
      <c r="AQ19" s="703">
        <f t="shared" si="0"/>
        <v>0</v>
      </c>
    </row>
    <row r="20" spans="2:69" x14ac:dyDescent="0.15">
      <c r="B20" s="653">
        <v>7555</v>
      </c>
      <c r="C20" s="391" t="s">
        <v>304</v>
      </c>
      <c r="E20" s="793">
        <v>0</v>
      </c>
      <c r="F20" s="654">
        <f>E20/'État des Résultats'!E$14</f>
        <v>0</v>
      </c>
      <c r="H20" s="793">
        <v>0</v>
      </c>
      <c r="I20" s="654">
        <f>H20/'État des Résultats'!H$14</f>
        <v>0</v>
      </c>
      <c r="K20" s="793">
        <v>0</v>
      </c>
      <c r="L20" s="654">
        <f>K20/'État des Résultats'!K$14</f>
        <v>0</v>
      </c>
      <c r="N20" s="793">
        <v>0</v>
      </c>
      <c r="O20" s="654">
        <f>N20/'État des Résultats'!N$14</f>
        <v>0</v>
      </c>
      <c r="Q20" s="793">
        <v>0</v>
      </c>
      <c r="R20" s="654">
        <f>Q20/'État des Résultats'!Q$14</f>
        <v>0</v>
      </c>
      <c r="T20" s="793">
        <v>0</v>
      </c>
      <c r="U20" s="654">
        <f>T20/'État des Résultats'!T$14</f>
        <v>0</v>
      </c>
      <c r="W20" s="793">
        <v>0</v>
      </c>
      <c r="X20" s="654">
        <f>W20/'État des Résultats'!W$14</f>
        <v>0</v>
      </c>
      <c r="Z20" s="793">
        <v>0</v>
      </c>
      <c r="AA20" s="654">
        <f>Z20/'État des Résultats'!Z$14</f>
        <v>0</v>
      </c>
      <c r="AC20" s="793">
        <v>0</v>
      </c>
      <c r="AD20" s="654">
        <f>AC20/'État des Résultats'!AC$14</f>
        <v>0</v>
      </c>
      <c r="AF20" s="793">
        <v>0</v>
      </c>
      <c r="AG20" s="654">
        <f>AF20/'État des Résultats'!AF$14</f>
        <v>0</v>
      </c>
      <c r="AI20" s="793">
        <v>0</v>
      </c>
      <c r="AJ20" s="654">
        <f>AI20/'État des Résultats'!AI$14</f>
        <v>0</v>
      </c>
      <c r="AL20" s="793">
        <v>0</v>
      </c>
      <c r="AM20" s="654">
        <f>AL20/'État des Résultats'!AL$14</f>
        <v>0</v>
      </c>
      <c r="AP20" s="796">
        <f t="shared" si="1"/>
        <v>0</v>
      </c>
      <c r="AQ20" s="703">
        <f t="shared" si="0"/>
        <v>0</v>
      </c>
    </row>
    <row r="21" spans="2:69" x14ac:dyDescent="0.15">
      <c r="B21" s="653">
        <v>7560</v>
      </c>
      <c r="C21" s="391" t="s">
        <v>305</v>
      </c>
      <c r="E21" s="793">
        <v>0</v>
      </c>
      <c r="F21" s="654">
        <f>E21/'État des Résultats'!E$14</f>
        <v>0</v>
      </c>
      <c r="H21" s="793">
        <v>0</v>
      </c>
      <c r="I21" s="654">
        <f>H21/'État des Résultats'!H$14</f>
        <v>0</v>
      </c>
      <c r="K21" s="793">
        <v>0</v>
      </c>
      <c r="L21" s="654">
        <f>K21/'État des Résultats'!K$14</f>
        <v>0</v>
      </c>
      <c r="N21" s="793">
        <v>0</v>
      </c>
      <c r="O21" s="654">
        <f>N21/'État des Résultats'!N$14</f>
        <v>0</v>
      </c>
      <c r="Q21" s="793">
        <v>0</v>
      </c>
      <c r="R21" s="654">
        <f>Q21/'État des Résultats'!Q$14</f>
        <v>0</v>
      </c>
      <c r="T21" s="793">
        <v>0</v>
      </c>
      <c r="U21" s="654">
        <f>T21/'État des Résultats'!T$14</f>
        <v>0</v>
      </c>
      <c r="W21" s="793">
        <v>0</v>
      </c>
      <c r="X21" s="654">
        <f>W21/'État des Résultats'!W$14</f>
        <v>0</v>
      </c>
      <c r="Z21" s="793">
        <v>0</v>
      </c>
      <c r="AA21" s="654">
        <f>Z21/'État des Résultats'!Z$14</f>
        <v>0</v>
      </c>
      <c r="AC21" s="793">
        <v>0</v>
      </c>
      <c r="AD21" s="654">
        <f>AC21/'État des Résultats'!AC$14</f>
        <v>0</v>
      </c>
      <c r="AF21" s="793">
        <v>0</v>
      </c>
      <c r="AG21" s="654">
        <f>AF21/'État des Résultats'!AF$14</f>
        <v>0</v>
      </c>
      <c r="AI21" s="793">
        <v>0</v>
      </c>
      <c r="AJ21" s="654">
        <f>AI21/'État des Résultats'!AI$14</f>
        <v>0</v>
      </c>
      <c r="AL21" s="793">
        <v>0</v>
      </c>
      <c r="AM21" s="654">
        <f>AL21/'État des Résultats'!AL$14</f>
        <v>0</v>
      </c>
      <c r="AP21" s="796">
        <f t="shared" si="1"/>
        <v>0</v>
      </c>
      <c r="AQ21" s="703">
        <f t="shared" si="0"/>
        <v>0</v>
      </c>
    </row>
    <row r="22" spans="2:69" x14ac:dyDescent="0.15">
      <c r="B22" s="653">
        <v>7599</v>
      </c>
      <c r="C22" s="391" t="s">
        <v>306</v>
      </c>
      <c r="E22" s="793">
        <v>0</v>
      </c>
      <c r="F22" s="654">
        <f>E22/'État des Résultats'!E$14</f>
        <v>0</v>
      </c>
      <c r="H22" s="793">
        <v>0</v>
      </c>
      <c r="I22" s="654">
        <f>H22/'État des Résultats'!H$14</f>
        <v>0</v>
      </c>
      <c r="K22" s="793">
        <v>0</v>
      </c>
      <c r="L22" s="654">
        <f>K22/'État des Résultats'!K$14</f>
        <v>0</v>
      </c>
      <c r="N22" s="793">
        <v>0</v>
      </c>
      <c r="O22" s="654">
        <f>N22/'État des Résultats'!N$14</f>
        <v>0</v>
      </c>
      <c r="Q22" s="793">
        <v>0</v>
      </c>
      <c r="R22" s="654">
        <f>Q22/'État des Résultats'!Q$14</f>
        <v>0</v>
      </c>
      <c r="T22" s="793">
        <v>0</v>
      </c>
      <c r="U22" s="654">
        <f>T22/'État des Résultats'!T$14</f>
        <v>0</v>
      </c>
      <c r="W22" s="793">
        <v>0</v>
      </c>
      <c r="X22" s="654">
        <f>W22/'État des Résultats'!W$14</f>
        <v>0</v>
      </c>
      <c r="Z22" s="793">
        <v>0</v>
      </c>
      <c r="AA22" s="654">
        <f>Z22/'État des Résultats'!Z$14</f>
        <v>0</v>
      </c>
      <c r="AC22" s="793">
        <v>0</v>
      </c>
      <c r="AD22" s="654">
        <f>AC22/'État des Résultats'!AC$14</f>
        <v>0</v>
      </c>
      <c r="AF22" s="793">
        <v>0</v>
      </c>
      <c r="AG22" s="654">
        <f>AF22/'État des Résultats'!AF$14</f>
        <v>0</v>
      </c>
      <c r="AI22" s="793">
        <v>0</v>
      </c>
      <c r="AJ22" s="654">
        <f>AI22/'État des Résultats'!AI$14</f>
        <v>0</v>
      </c>
      <c r="AL22" s="793">
        <v>0</v>
      </c>
      <c r="AM22" s="654">
        <f>AL22/'État des Résultats'!AL$14</f>
        <v>0</v>
      </c>
      <c r="AP22" s="796">
        <f t="shared" si="1"/>
        <v>0</v>
      </c>
      <c r="AQ22" s="703">
        <f t="shared" si="0"/>
        <v>0</v>
      </c>
    </row>
    <row r="23" spans="2:69" ht="14" thickBot="1" x14ac:dyDescent="0.2">
      <c r="B23" s="653"/>
      <c r="C23" s="391"/>
      <c r="E23" s="793"/>
      <c r="F23" s="687"/>
      <c r="H23" s="793"/>
      <c r="I23" s="687"/>
      <c r="K23" s="793"/>
      <c r="L23" s="687"/>
      <c r="N23" s="793"/>
      <c r="O23" s="687"/>
      <c r="Q23" s="793"/>
      <c r="R23" s="687"/>
      <c r="T23" s="793"/>
      <c r="U23" s="687"/>
      <c r="W23" s="793"/>
      <c r="X23" s="687"/>
      <c r="Z23" s="793"/>
      <c r="AA23" s="687"/>
      <c r="AC23" s="793"/>
      <c r="AD23" s="687"/>
      <c r="AF23" s="793"/>
      <c r="AG23" s="687"/>
      <c r="AI23" s="793"/>
      <c r="AJ23" s="687"/>
      <c r="AL23" s="793"/>
      <c r="AM23" s="687"/>
      <c r="AP23" s="796"/>
      <c r="AQ23" s="688"/>
    </row>
    <row r="24" spans="2:69" ht="15" thickTop="1" thickBot="1" x14ac:dyDescent="0.2">
      <c r="B24" s="469">
        <v>7500</v>
      </c>
      <c r="C24" s="470" t="s">
        <v>307</v>
      </c>
      <c r="D24" s="213"/>
      <c r="E24" s="795">
        <f>SUM(E13:E23)</f>
        <v>100</v>
      </c>
      <c r="F24" s="662">
        <f>SUM(F13:F23)</f>
        <v>1.3701132626963827E-3</v>
      </c>
      <c r="G24" s="213"/>
      <c r="H24" s="795">
        <f>SUM(H13:H23)</f>
        <v>100</v>
      </c>
      <c r="I24" s="662">
        <f>SUM(I13:I23)</f>
        <v>1.4135441084659511E-3</v>
      </c>
      <c r="J24" s="213"/>
      <c r="K24" s="795">
        <f>SUM(K13:K23)</f>
        <v>100</v>
      </c>
      <c r="L24" s="662">
        <f>SUM(L13:L23)</f>
        <v>1.2685123521390289E-3</v>
      </c>
      <c r="M24" s="213"/>
      <c r="N24" s="795">
        <f>SUM(N13:N23)</f>
        <v>100</v>
      </c>
      <c r="O24" s="662">
        <f>SUM(O13:O23)</f>
        <v>1.2086342291196426E-3</v>
      </c>
      <c r="P24" s="213"/>
      <c r="Q24" s="795">
        <f>SUM(Q13:Q23)</f>
        <v>100</v>
      </c>
      <c r="R24" s="662">
        <f>SUM(R13:R23)</f>
        <v>1.1225729971800966E-3</v>
      </c>
      <c r="S24" s="213"/>
      <c r="T24" s="795">
        <f>SUM(T13:T23)</f>
        <v>100</v>
      </c>
      <c r="U24" s="662">
        <f>SUM(U13:U23)</f>
        <v>1.0923386245366708E-3</v>
      </c>
      <c r="V24" s="213"/>
      <c r="W24" s="795">
        <f>SUM(W13:W23)</f>
        <v>100</v>
      </c>
      <c r="X24" s="662">
        <f>SUM(X13:X23)</f>
        <v>1.0169654757000929E-3</v>
      </c>
      <c r="Y24" s="213"/>
      <c r="Z24" s="795">
        <f>SUM(Z13:Z23)</f>
        <v>100</v>
      </c>
      <c r="AA24" s="662">
        <f>SUM(AA13:AA23)</f>
        <v>1.0037171661531315E-3</v>
      </c>
      <c r="AB24" s="213"/>
      <c r="AC24" s="795">
        <f>SUM(AC13:AC23)</f>
        <v>100</v>
      </c>
      <c r="AD24" s="662">
        <f>SUM(AD13:AD23)</f>
        <v>1.0976879727536281E-3</v>
      </c>
      <c r="AE24" s="213"/>
      <c r="AF24" s="795">
        <f>SUM(AF13:AF23)</f>
        <v>100</v>
      </c>
      <c r="AG24" s="662">
        <f>SUM(AG13:AG23)</f>
        <v>1.0597864576211971E-3</v>
      </c>
      <c r="AH24" s="213"/>
      <c r="AI24" s="795">
        <f>SUM(AI13:AI23)</f>
        <v>100</v>
      </c>
      <c r="AJ24" s="662">
        <f>SUM(AJ13:AJ23)</f>
        <v>1.1401591787631063E-3</v>
      </c>
      <c r="AK24" s="213"/>
      <c r="AL24" s="795">
        <f>SUM(AL13:AL23)</f>
        <v>100</v>
      </c>
      <c r="AM24" s="662">
        <f>SUM(AM13:AM23)</f>
        <v>1.0259437579683767E-3</v>
      </c>
      <c r="AN24" s="213"/>
      <c r="AO24" s="213"/>
      <c r="AP24" s="795">
        <f>SUM(AP13:AP23)</f>
        <v>1200</v>
      </c>
      <c r="AQ24" s="662">
        <f>SUM(AQ13:AQ23)</f>
        <v>1</v>
      </c>
      <c r="AR24" s="213"/>
      <c r="AS24" s="213"/>
      <c r="AT24" s="213"/>
      <c r="AU24" s="251"/>
    </row>
    <row r="25" spans="2:69" ht="14" thickTop="1" x14ac:dyDescent="0.15">
      <c r="L25" s="314"/>
      <c r="O25" s="314"/>
      <c r="R25" s="314"/>
      <c r="U25" s="314"/>
      <c r="X25" s="314"/>
      <c r="AA25" s="314"/>
      <c r="AD25" s="314"/>
      <c r="AG25" s="314"/>
      <c r="AJ25" s="314"/>
      <c r="AM25" s="314"/>
      <c r="AQ25" s="314"/>
    </row>
    <row r="26" spans="2:69" x14ac:dyDescent="0.15">
      <c r="R26" s="314"/>
      <c r="U26" s="314"/>
      <c r="X26" s="314"/>
      <c r="AD26" s="314"/>
      <c r="AG26" s="314"/>
      <c r="AJ26" s="314"/>
      <c r="AM26" s="314"/>
    </row>
    <row r="27" spans="2:69" x14ac:dyDescent="0.15">
      <c r="U27" s="314"/>
      <c r="AG27" s="314"/>
      <c r="AJ27" s="314"/>
      <c r="AM27" s="314"/>
    </row>
    <row r="28" spans="2:69" x14ac:dyDescent="0.15">
      <c r="C28" s="161" t="s">
        <v>2</v>
      </c>
      <c r="E28" s="161" t="s">
        <v>2</v>
      </c>
      <c r="G28" s="161" t="s">
        <v>2</v>
      </c>
      <c r="H28" s="161" t="s">
        <v>2</v>
      </c>
      <c r="U28" s="314"/>
      <c r="AG28" s="314"/>
      <c r="AJ28" s="314"/>
      <c r="AM28" s="314"/>
    </row>
    <row r="29" spans="2:69" x14ac:dyDescent="0.15">
      <c r="H29" s="161" t="s">
        <v>2</v>
      </c>
      <c r="AG29" s="314"/>
      <c r="AJ29" s="314"/>
      <c r="AM29" s="314"/>
    </row>
    <row r="30" spans="2:69" x14ac:dyDescent="0.15">
      <c r="H30" s="161" t="s">
        <v>2</v>
      </c>
      <c r="AM30" s="314"/>
    </row>
    <row r="31" spans="2:69" x14ac:dyDescent="0.15">
      <c r="H31" s="161" t="s">
        <v>2</v>
      </c>
      <c r="BB31" s="170"/>
      <c r="BC31" s="170"/>
      <c r="BD31" s="170"/>
      <c r="BE31" s="170"/>
      <c r="BF31" s="170"/>
      <c r="BG31" s="170"/>
      <c r="BH31" s="170"/>
      <c r="BI31" s="170"/>
      <c r="BJ31" s="170"/>
      <c r="BK31" s="170"/>
      <c r="BL31" s="170"/>
      <c r="BM31" s="170"/>
      <c r="BN31" s="170"/>
      <c r="BO31" s="170"/>
      <c r="BP31" s="170"/>
      <c r="BQ31" s="170"/>
    </row>
    <row r="32" spans="2:69" x14ac:dyDescent="0.15">
      <c r="H32" s="161" t="s">
        <v>2</v>
      </c>
    </row>
    <row r="33" spans="8:8" x14ac:dyDescent="0.15">
      <c r="H33" s="161" t="s">
        <v>2</v>
      </c>
    </row>
    <row r="43" spans="8:8" x14ac:dyDescent="0.15">
      <c r="H43" s="663"/>
    </row>
  </sheetData>
  <sheetProtection algorithmName="SHA-512" hashValue="Y1hwpNhf15wkMP96UnGJNhPFWBonj6jSaTP0C0zJ4IIvWG409zaOEKTl5WdTKhs2ekabTCHdBDCKC03dU0Om3A==" saltValue="tgfZA3ndAw8XN+JStYDm4Q==" spinCount="100000" sheet="1" objects="1" scenarios="1"/>
  <mergeCells count="9">
    <mergeCell ref="AS2:AS8"/>
    <mergeCell ref="BC2:BC8"/>
    <mergeCell ref="B9:C9"/>
    <mergeCell ref="B2:C2"/>
    <mergeCell ref="B3:C3"/>
    <mergeCell ref="B4:C4"/>
    <mergeCell ref="B6:C6"/>
    <mergeCell ref="B7:C7"/>
    <mergeCell ref="B8:C8"/>
  </mergeCells>
  <hyperlinks>
    <hyperlink ref="C11" r:id="rId1" xr:uid="{29B484A2-6751-F44A-9402-A26B7F16B843}"/>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A5F55-6BF9-3F42-BF02-40976A37002C}">
  <sheetPr>
    <tabColor theme="1"/>
    <pageSetUpPr fitToPage="1"/>
  </sheetPr>
  <dimension ref="B1:BQ44"/>
  <sheetViews>
    <sheetView zoomScale="125" zoomScaleNormal="125" zoomScalePageLayoutView="125" workbookViewId="0">
      <selection activeCell="O13" sqref="O13"/>
    </sheetView>
  </sheetViews>
  <sheetFormatPr baseColWidth="10" defaultRowHeight="13" x14ac:dyDescent="0.15"/>
  <cols>
    <col min="1" max="1" width="2.1640625" style="161" customWidth="1"/>
    <col min="2" max="2" width="5.1640625" style="161" customWidth="1"/>
    <col min="3" max="3" width="50.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16406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1430" t="str">
        <f>'Coût marchandises vendues'!B2</f>
        <v>Les Multiples Plaisirs gourmands</v>
      </c>
      <c r="C2" s="1431"/>
      <c r="AS2" s="1388" t="s">
        <v>42</v>
      </c>
      <c r="AT2" s="366"/>
      <c r="AU2" s="366"/>
      <c r="AV2" s="366"/>
      <c r="AW2" s="366"/>
      <c r="AX2" s="366"/>
      <c r="AY2" s="366"/>
      <c r="AZ2" s="366"/>
      <c r="BA2" s="366"/>
      <c r="BB2" s="366"/>
      <c r="BC2" s="1391" t="s">
        <v>43</v>
      </c>
    </row>
    <row r="3" spans="2:56" ht="20" customHeight="1" x14ac:dyDescent="0.2">
      <c r="B3" s="1432" t="str">
        <f>'Coût marchandises vendues'!B3</f>
        <v xml:space="preserve">États des résultats </v>
      </c>
      <c r="C3" s="1433"/>
      <c r="AS3" s="1389"/>
      <c r="AT3" s="367"/>
      <c r="AU3" s="367"/>
      <c r="AV3" s="367"/>
      <c r="AW3" s="367"/>
      <c r="AX3" s="367"/>
      <c r="AY3" s="367"/>
      <c r="AZ3" s="367"/>
      <c r="BA3" s="367"/>
      <c r="BB3" s="367"/>
      <c r="BC3" s="1392"/>
    </row>
    <row r="4" spans="2:56" ht="20" customHeight="1" thickBot="1" x14ac:dyDescent="0.3">
      <c r="B4" s="1434" t="str">
        <f>'Coût marchandises vendues'!B4</f>
        <v>Pour la période du 1er janvier 2021 au 31 décembre 2021</v>
      </c>
      <c r="C4" s="1435"/>
      <c r="AS4" s="1389"/>
      <c r="AT4" s="368" t="str">
        <f>'Formule pour le calcul D'!BA103</f>
        <v>Coût annuel</v>
      </c>
      <c r="AU4" s="368" t="s">
        <v>44</v>
      </c>
      <c r="AV4" s="368" t="str">
        <f>'Formule pour le calcul D'!BC103</f>
        <v>Achalandage annuelle</v>
      </c>
      <c r="AW4" s="368" t="s">
        <v>45</v>
      </c>
      <c r="AX4" s="368" t="s">
        <v>46</v>
      </c>
      <c r="AY4" s="368" t="str">
        <f>'Formule pour le calcul D'!BF103</f>
        <v>Um/A</v>
      </c>
      <c r="AZ4" s="368" t="s">
        <v>45</v>
      </c>
      <c r="BA4" s="368" t="str">
        <f>'Formule pour le calcul D'!BH103</f>
        <v>CmO</v>
      </c>
      <c r="BB4" s="368" t="s">
        <v>49</v>
      </c>
      <c r="BC4" s="1392"/>
    </row>
    <row r="5" spans="2:56" ht="21" thickTop="1" thickBot="1" x14ac:dyDescent="0.3">
      <c r="AS5" s="1389"/>
      <c r="AT5" s="369" t="s">
        <v>2</v>
      </c>
      <c r="AU5" s="370"/>
      <c r="AV5" s="369"/>
      <c r="AW5" s="370"/>
      <c r="AX5" s="370"/>
      <c r="AY5" s="370"/>
      <c r="AZ5" s="370"/>
      <c r="BA5" s="370"/>
      <c r="BB5" s="370"/>
      <c r="BC5" s="1392"/>
    </row>
    <row r="6" spans="2:56" ht="27" thickTop="1" x14ac:dyDescent="0.3">
      <c r="B6" s="1406" t="str">
        <f>'Coût marchandises vendues'!B6</f>
        <v>Nb de places</v>
      </c>
      <c r="C6" s="1436"/>
      <c r="E6" s="637" t="str">
        <f>'Coût marchandises vendues'!D6</f>
        <v>Coût / place / jour</v>
      </c>
      <c r="F6" s="638">
        <f>+E25/$B$7/'Calendrier 2021'!D8</f>
        <v>3.9240143369175633</v>
      </c>
      <c r="G6" s="170"/>
      <c r="H6" s="637" t="str">
        <f>+E6</f>
        <v>Coût / place / jour</v>
      </c>
      <c r="I6" s="638">
        <f>+H25/$B$7/'Calendrier 2021'!E8</f>
        <v>4.2109623015873021</v>
      </c>
      <c r="J6" s="170"/>
      <c r="K6" s="637" t="str">
        <f>+H6</f>
        <v>Coût / place / jour</v>
      </c>
      <c r="L6" s="638">
        <f>+K25/$B$7/'Calendrier 2021'!F8</f>
        <v>4.2383064516129032</v>
      </c>
      <c r="M6" s="170"/>
      <c r="N6" s="637" t="str">
        <f>+K6</f>
        <v>Coût / place / jour</v>
      </c>
      <c r="O6" s="638">
        <f>+N25/$B$7/'Calendrier 2021'!G8</f>
        <v>4.5965565277777785</v>
      </c>
      <c r="P6" s="422"/>
      <c r="Q6" s="637" t="str">
        <f>+N6</f>
        <v>Coût / place / jour</v>
      </c>
      <c r="R6" s="638">
        <f>+Q25/$B$7/'Calendrier 2021'!H8</f>
        <v>4.7893046594982076</v>
      </c>
      <c r="S6" s="422"/>
      <c r="T6" s="637" t="str">
        <f>+Q6</f>
        <v>Coût / place / jour</v>
      </c>
      <c r="U6" s="638">
        <f>+T25/$B$7/'Calendrier 2021'!I8</f>
        <v>5.0859279629629635</v>
      </c>
      <c r="V6" s="170"/>
      <c r="W6" s="637" t="str">
        <f>+T6</f>
        <v>Coût / place / jour</v>
      </c>
      <c r="X6" s="638">
        <f>+W25/$B$7/'Calendrier 2021'!J8</f>
        <v>5.2866534946236579</v>
      </c>
      <c r="Y6" s="170"/>
      <c r="Z6" s="637" t="str">
        <f>+W6</f>
        <v>Coût / place / jour</v>
      </c>
      <c r="AA6" s="638">
        <f>+Z25/$B$7/'Calendrier 2021'!K8</f>
        <v>5.3564333333333334</v>
      </c>
      <c r="AB6" s="170"/>
      <c r="AC6" s="637" t="str">
        <f>+Z6</f>
        <v>Coût / place / jour</v>
      </c>
      <c r="AD6" s="638">
        <f>+AC25/$B$7/'Calendrier 2021'!L8</f>
        <v>5.0611427777777775</v>
      </c>
      <c r="AE6" s="170"/>
      <c r="AF6" s="637" t="str">
        <f>+AC6</f>
        <v>Coût / place / jour</v>
      </c>
      <c r="AG6" s="638">
        <f>+AF25/$B$7/'Calendrier 2021'!M8</f>
        <v>5.0730447132616492</v>
      </c>
      <c r="AH6" s="170"/>
      <c r="AI6" s="637" t="str">
        <f>+AF6</f>
        <v>Coût / place / jour</v>
      </c>
      <c r="AJ6" s="638">
        <f>+AI25/$B$7/'Calendrier 2021'!N8</f>
        <v>4.8726139814814813</v>
      </c>
      <c r="AK6" s="170"/>
      <c r="AL6" s="637" t="str">
        <f>+AI6</f>
        <v>Coût / place / jour</v>
      </c>
      <c r="AM6" s="638">
        <f>+AL25/$B$7/'Calendrier 2021'!O8</f>
        <v>5.2403887096774202</v>
      </c>
      <c r="AN6" s="170"/>
      <c r="AO6" s="170"/>
      <c r="AP6" s="639" t="str">
        <f>+AL6</f>
        <v>Coût / place / jour</v>
      </c>
      <c r="AQ6" s="640">
        <f>+AP25/$B$7/'% Occupation'!P9</f>
        <v>4.815196434550991</v>
      </c>
      <c r="AS6" s="1389"/>
      <c r="AT6" s="629" t="str">
        <f>'Formule pour le calcul D'!BA105</f>
        <v xml:space="preserve">C </v>
      </c>
      <c r="AU6" s="372"/>
      <c r="AV6" s="371" t="str">
        <f>'Formule pour le calcul D'!BC105</f>
        <v>A</v>
      </c>
      <c r="AW6" s="372"/>
      <c r="AX6" s="372"/>
      <c r="AY6" s="371" t="str">
        <f>AY4</f>
        <v>Um/A</v>
      </c>
      <c r="AZ6" s="372"/>
      <c r="BA6" s="371" t="str">
        <f>BA4</f>
        <v>CmO</v>
      </c>
      <c r="BB6" s="372"/>
      <c r="BC6" s="1392"/>
    </row>
    <row r="7" spans="2:56" ht="21" x14ac:dyDescent="0.25">
      <c r="B7" s="1410">
        <f>'État des Résultats'!C7</f>
        <v>30</v>
      </c>
      <c r="C7" s="1437"/>
      <c r="E7" s="424">
        <f>+E25/$AP25</f>
        <v>6.9212638583414657E-2</v>
      </c>
      <c r="F7" s="641"/>
      <c r="H7" s="424">
        <f>+H25/$AP25</f>
        <v>6.7086094803409532E-2</v>
      </c>
      <c r="I7" s="641"/>
      <c r="K7" s="424">
        <f>+K25/$AP25</f>
        <v>7.47561928817186E-2</v>
      </c>
      <c r="L7" s="425"/>
      <c r="N7" s="424">
        <f>+N25/$AP25</f>
        <v>7.8459762088998949E-2</v>
      </c>
      <c r="O7" s="425"/>
      <c r="P7" s="642"/>
      <c r="Q7" s="424">
        <f>+Q25/$AP25</f>
        <v>8.4474821955951754E-2</v>
      </c>
      <c r="R7" s="425"/>
      <c r="S7" s="642"/>
      <c r="T7" s="424">
        <f>+T25/$AP25</f>
        <v>8.6812964349375424E-2</v>
      </c>
      <c r="U7" s="425"/>
      <c r="W7" s="424">
        <f>+W25/$AP25</f>
        <v>9.3247171448043634E-2</v>
      </c>
      <c r="X7" s="425"/>
      <c r="Z7" s="424">
        <f>+Z25/$AP25</f>
        <v>9.4477963780167373E-2</v>
      </c>
      <c r="AA7" s="425"/>
      <c r="AC7" s="424">
        <f>+AC25/$AP25</f>
        <v>8.6389899883354035E-2</v>
      </c>
      <c r="AD7" s="425"/>
      <c r="AF7" s="424">
        <f>+AF25/$AP25</f>
        <v>8.9479492200911739E-2</v>
      </c>
      <c r="AG7" s="425"/>
      <c r="AI7" s="424">
        <f>+AI25/$AP25</f>
        <v>8.3171855154665811E-2</v>
      </c>
      <c r="AJ7" s="425"/>
      <c r="AL7" s="424">
        <f>+AL25/$AP25</f>
        <v>9.2431142869988353E-2</v>
      </c>
      <c r="AM7" s="425"/>
      <c r="AP7" s="643">
        <f>+AP25/$AP25</f>
        <v>1</v>
      </c>
      <c r="AQ7" s="644" t="s">
        <v>136</v>
      </c>
      <c r="AS7" s="1389"/>
      <c r="AT7" s="630">
        <f>AP25</f>
        <v>52726.400958333346</v>
      </c>
      <c r="AU7" s="368" t="s">
        <v>44</v>
      </c>
      <c r="AV7" s="631">
        <f>'Formule pour le calcul D'!G114</f>
        <v>52000</v>
      </c>
      <c r="AW7" s="368" t="s">
        <v>45</v>
      </c>
      <c r="AX7" s="368" t="s">
        <v>46</v>
      </c>
      <c r="AY7" s="632">
        <f>'Formule pour le calcul D'!J106</f>
        <v>3.1499999999999995</v>
      </c>
      <c r="AZ7" s="368" t="s">
        <v>45</v>
      </c>
      <c r="BA7" s="633">
        <f>AT7/AV7/AY7</f>
        <v>0.32189499974562491</v>
      </c>
      <c r="BB7" s="368" t="s">
        <v>49</v>
      </c>
      <c r="BC7" s="1392"/>
    </row>
    <row r="8" spans="2:56" ht="17" thickBot="1" x14ac:dyDescent="0.25">
      <c r="B8" s="1410" t="s">
        <v>321</v>
      </c>
      <c r="C8" s="1437"/>
      <c r="E8" s="646" t="str">
        <f>'État des Résultats'!E8</f>
        <v>Pér.01</v>
      </c>
      <c r="F8" s="645" t="str">
        <f>'État des Résultats'!F8</f>
        <v>(%)</v>
      </c>
      <c r="G8" s="382"/>
      <c r="H8" s="646" t="str">
        <f>'État des Résultats'!H8</f>
        <v>Pér.02</v>
      </c>
      <c r="I8" s="645" t="str">
        <f>F8</f>
        <v>(%)</v>
      </c>
      <c r="J8" s="382"/>
      <c r="K8" s="646" t="str">
        <f>'État des Résultats'!K8</f>
        <v>Pér.03</v>
      </c>
      <c r="L8" s="645" t="str">
        <f>I8</f>
        <v>(%)</v>
      </c>
      <c r="M8" s="382"/>
      <c r="N8" s="646" t="str">
        <f>'État des Résultats'!N8</f>
        <v>Pér.04</v>
      </c>
      <c r="O8" s="645" t="str">
        <f>L8</f>
        <v>(%)</v>
      </c>
      <c r="P8" s="426"/>
      <c r="Q8" s="646" t="str">
        <f>'État des Résultats'!Q8</f>
        <v>Pér.05</v>
      </c>
      <c r="R8" s="645" t="str">
        <f>O8</f>
        <v>(%)</v>
      </c>
      <c r="S8" s="426"/>
      <c r="T8" s="646" t="str">
        <f>'État des Résultats'!T8</f>
        <v>Pér.06</v>
      </c>
      <c r="U8" s="645" t="str">
        <f>R8</f>
        <v>(%)</v>
      </c>
      <c r="V8" s="382"/>
      <c r="W8" s="646" t="str">
        <f>'État des Résultats'!W8</f>
        <v>Pér.07</v>
      </c>
      <c r="X8" s="645" t="str">
        <f>U8</f>
        <v>(%)</v>
      </c>
      <c r="Y8" s="382"/>
      <c r="Z8" s="646" t="str">
        <f>'État des Résultats'!Z8</f>
        <v>Pér.08</v>
      </c>
      <c r="AA8" s="645" t="str">
        <f>X8</f>
        <v>(%)</v>
      </c>
      <c r="AB8" s="382"/>
      <c r="AC8" s="646" t="str">
        <f>'État des Résultats'!AC8</f>
        <v>Pér.09</v>
      </c>
      <c r="AD8" s="645" t="str">
        <f>AA8</f>
        <v>(%)</v>
      </c>
      <c r="AE8" s="382"/>
      <c r="AF8" s="646" t="str">
        <f>'État des Résultats'!AF8</f>
        <v>Pér.10</v>
      </c>
      <c r="AG8" s="645" t="str">
        <f>AD8</f>
        <v>(%)</v>
      </c>
      <c r="AH8" s="382"/>
      <c r="AI8" s="646" t="str">
        <f>'État des Résultats'!AI8</f>
        <v>Pér.11</v>
      </c>
      <c r="AJ8" s="645" t="str">
        <f>AG8</f>
        <v>(%)</v>
      </c>
      <c r="AK8" s="382"/>
      <c r="AL8" s="646" t="str">
        <f>'État des Résultats'!AL8</f>
        <v>Pér.12</v>
      </c>
      <c r="AM8" s="645" t="str">
        <f>AJ8</f>
        <v>(%)</v>
      </c>
      <c r="AN8" s="647" t="s">
        <v>2</v>
      </c>
      <c r="AO8" s="382"/>
      <c r="AP8" s="648" t="str">
        <f>'État des Résultats'!AP8</f>
        <v>Total</v>
      </c>
      <c r="AQ8" s="645" t="str">
        <f>AM8</f>
        <v>(%)</v>
      </c>
      <c r="AS8" s="1390"/>
      <c r="AT8" s="373"/>
      <c r="AU8" s="373"/>
      <c r="AV8" s="373"/>
      <c r="AW8" s="373"/>
      <c r="AX8" s="373"/>
      <c r="AY8" s="373"/>
      <c r="AZ8" s="373"/>
      <c r="BA8" s="373"/>
      <c r="BB8" s="373"/>
      <c r="BC8" s="1393"/>
    </row>
    <row r="9" spans="2:56" ht="15" thickTop="1" thickBot="1" x14ac:dyDescent="0.2">
      <c r="B9" s="1446">
        <f>AP25/$B$7</f>
        <v>1757.5466986111117</v>
      </c>
      <c r="C9" s="1447"/>
      <c r="E9" s="664" t="str">
        <f>'État des Résultats'!E9</f>
        <v>Janvier 2021</v>
      </c>
      <c r="F9" s="665"/>
      <c r="G9" s="292"/>
      <c r="H9" s="666" t="str">
        <f>'État des Résultats'!H9</f>
        <v>Février 2021</v>
      </c>
      <c r="I9" s="667"/>
      <c r="J9" s="292"/>
      <c r="K9" s="666" t="str">
        <f>'État des Résultats'!K9</f>
        <v>Mars 2021</v>
      </c>
      <c r="L9" s="667"/>
      <c r="M9" s="292"/>
      <c r="N9" s="664" t="str">
        <f>'État des Résultats'!N9</f>
        <v>Avril 2021</v>
      </c>
      <c r="O9" s="665"/>
      <c r="P9" s="668"/>
      <c r="Q9" s="664" t="str">
        <f>'État des Résultats'!Q9</f>
        <v>Mai 2021</v>
      </c>
      <c r="R9" s="665"/>
      <c r="S9" s="668"/>
      <c r="T9" s="666" t="str">
        <f>'État des Résultats'!T9</f>
        <v>Juin 2021</v>
      </c>
      <c r="U9" s="667"/>
      <c r="V9" s="292"/>
      <c r="W9" s="666" t="str">
        <f>'État des Résultats'!W9</f>
        <v>Juillet 2021</v>
      </c>
      <c r="X9" s="667"/>
      <c r="Y9" s="292"/>
      <c r="Z9" s="666" t="str">
        <f>'État des Résultats'!Z9</f>
        <v>Août 2021</v>
      </c>
      <c r="AA9" s="667"/>
      <c r="AB9" s="292"/>
      <c r="AC9" s="666" t="str">
        <f>'État des Résultats'!AC9</f>
        <v>Septembre 2021</v>
      </c>
      <c r="AD9" s="667"/>
      <c r="AE9" s="292"/>
      <c r="AF9" s="666" t="str">
        <f>'État des Résultats'!AF9</f>
        <v>Octobre 2021</v>
      </c>
      <c r="AG9" s="667"/>
      <c r="AH9" s="292"/>
      <c r="AI9" s="666" t="str">
        <f>'État des Résultats'!AI9</f>
        <v>Novembre 2021</v>
      </c>
      <c r="AJ9" s="667"/>
      <c r="AK9" s="292"/>
      <c r="AL9" s="666" t="str">
        <f>'État des Résultats'!AL9</f>
        <v>Décembre 2021</v>
      </c>
      <c r="AM9" s="667"/>
      <c r="AN9" s="292"/>
      <c r="AO9" s="292"/>
      <c r="AP9" s="669" t="str">
        <f>'État des Résultats'!AP9</f>
        <v>Année</v>
      </c>
      <c r="AQ9" s="670"/>
      <c r="AR9" s="671"/>
      <c r="AS9" s="671"/>
      <c r="AT9" s="649"/>
      <c r="AU9" s="649"/>
      <c r="AV9" s="649"/>
      <c r="AW9" s="649"/>
      <c r="AX9" s="649"/>
      <c r="AY9" s="649"/>
      <c r="AZ9" s="649"/>
    </row>
    <row r="10" spans="2:56" ht="15" thickTop="1" thickBot="1" x14ac:dyDescent="0.2">
      <c r="D10" s="251"/>
      <c r="G10" s="388"/>
      <c r="J10" s="388"/>
      <c r="M10" s="388"/>
      <c r="P10" s="433"/>
      <c r="S10" s="433"/>
      <c r="V10" s="388"/>
      <c r="Y10" s="187"/>
      <c r="AB10" s="388"/>
      <c r="AE10" s="388"/>
      <c r="AH10" s="388"/>
      <c r="AK10" s="388"/>
      <c r="AN10" s="388"/>
      <c r="AO10" s="388"/>
      <c r="AR10" s="170"/>
      <c r="AS10" s="170"/>
      <c r="AT10" s="170"/>
    </row>
    <row r="11" spans="2:56" ht="14" thickTop="1" x14ac:dyDescent="0.15">
      <c r="B11" s="650"/>
      <c r="C11" s="711" t="s">
        <v>308</v>
      </c>
      <c r="E11" s="650"/>
      <c r="F11" s="651"/>
      <c r="H11" s="650"/>
      <c r="I11" s="651"/>
      <c r="K11" s="650"/>
      <c r="L11" s="651"/>
      <c r="N11" s="650"/>
      <c r="O11" s="651"/>
      <c r="Q11" s="650"/>
      <c r="R11" s="651"/>
      <c r="T11" s="650"/>
      <c r="U11" s="651"/>
      <c r="W11" s="650"/>
      <c r="X11" s="651"/>
      <c r="Z11" s="650"/>
      <c r="AA11" s="651"/>
      <c r="AC11" s="650"/>
      <c r="AD11" s="651"/>
      <c r="AF11" s="650"/>
      <c r="AG11" s="651"/>
      <c r="AI11" s="650"/>
      <c r="AJ11" s="651"/>
      <c r="AL11" s="650"/>
      <c r="AM11" s="651"/>
      <c r="AP11" s="613"/>
      <c r="AQ11" s="615"/>
      <c r="AR11" s="187"/>
      <c r="AS11" s="187"/>
      <c r="AT11" s="187"/>
      <c r="AU11" s="187"/>
      <c r="AV11" s="187"/>
      <c r="AW11" s="187"/>
      <c r="AX11" s="187"/>
      <c r="AY11" s="187"/>
      <c r="AZ11" s="187"/>
      <c r="BA11" s="187"/>
      <c r="BB11" s="187"/>
      <c r="BC11" s="187"/>
      <c r="BD11" s="187"/>
    </row>
    <row r="12" spans="2:56" x14ac:dyDescent="0.15">
      <c r="B12" s="190"/>
      <c r="C12" s="652"/>
      <c r="E12" s="190"/>
      <c r="F12" s="391"/>
      <c r="H12" s="190"/>
      <c r="I12" s="391"/>
      <c r="K12" s="190"/>
      <c r="L12" s="391"/>
      <c r="N12" s="190"/>
      <c r="O12" s="391"/>
      <c r="Q12" s="190"/>
      <c r="R12" s="391"/>
      <c r="T12" s="190"/>
      <c r="U12" s="391"/>
      <c r="W12" s="190"/>
      <c r="X12" s="391"/>
      <c r="Z12" s="190"/>
      <c r="AA12" s="391"/>
      <c r="AC12" s="190"/>
      <c r="AD12" s="391"/>
      <c r="AF12" s="190"/>
      <c r="AG12" s="391"/>
      <c r="AI12" s="190"/>
      <c r="AJ12" s="391"/>
      <c r="AL12" s="190"/>
      <c r="AM12" s="191"/>
      <c r="AP12" s="193"/>
      <c r="AQ12" s="494"/>
      <c r="AR12" s="187"/>
      <c r="AS12" s="187"/>
      <c r="AT12" s="187"/>
      <c r="AU12" s="187"/>
      <c r="AV12" s="187"/>
      <c r="AW12" s="187"/>
      <c r="AX12" s="187"/>
      <c r="AY12" s="187"/>
      <c r="AZ12" s="187"/>
      <c r="BA12" s="187"/>
      <c r="BB12" s="187"/>
      <c r="BC12" s="187"/>
      <c r="BD12" s="187"/>
    </row>
    <row r="13" spans="2:56" x14ac:dyDescent="0.15">
      <c r="B13" s="704">
        <v>7610</v>
      </c>
      <c r="C13" s="705" t="s">
        <v>309</v>
      </c>
      <c r="E13" s="793">
        <v>0</v>
      </c>
      <c r="F13" s="654">
        <f>E13/'État des Résultats'!E$14</f>
        <v>0</v>
      </c>
      <c r="H13" s="793">
        <v>0</v>
      </c>
      <c r="I13" s="654">
        <f>H13/'État des Résultats'!H$14</f>
        <v>0</v>
      </c>
      <c r="K13" s="793">
        <v>0</v>
      </c>
      <c r="L13" s="654">
        <f>K13/'État des Résultats'!K$14</f>
        <v>0</v>
      </c>
      <c r="N13" s="793">
        <v>0</v>
      </c>
      <c r="O13" s="654">
        <f>N13/'État des Résultats'!N$14</f>
        <v>0</v>
      </c>
      <c r="Q13" s="793">
        <v>0</v>
      </c>
      <c r="R13" s="654">
        <f>Q13/'État des Résultats'!Q$14</f>
        <v>0</v>
      </c>
      <c r="T13" s="793">
        <v>0</v>
      </c>
      <c r="U13" s="654">
        <f>T13/'État des Résultats'!T$14</f>
        <v>0</v>
      </c>
      <c r="W13" s="793">
        <v>0</v>
      </c>
      <c r="X13" s="654">
        <f>W13/'État des Résultats'!W$14</f>
        <v>0</v>
      </c>
      <c r="Z13" s="793">
        <v>0</v>
      </c>
      <c r="AA13" s="654">
        <f>Z13/'État des Résultats'!Z$14</f>
        <v>0</v>
      </c>
      <c r="AC13" s="793">
        <v>0</v>
      </c>
      <c r="AD13" s="654">
        <f>AC13/'État des Résultats'!AC$14</f>
        <v>0</v>
      </c>
      <c r="AF13" s="793">
        <v>0</v>
      </c>
      <c r="AG13" s="654">
        <f>AF13/'État des Résultats'!AF$14</f>
        <v>0</v>
      </c>
      <c r="AI13" s="793">
        <v>0</v>
      </c>
      <c r="AJ13" s="654">
        <f>AI13/'État des Résultats'!AI$14</f>
        <v>0</v>
      </c>
      <c r="AL13" s="793">
        <v>0</v>
      </c>
      <c r="AM13" s="654">
        <f>AL13/'État des Résultats'!AL$14</f>
        <v>0</v>
      </c>
      <c r="AP13" s="655">
        <f>SUM(+$AL13+$AI13+$AF13+$AC13+$Z13+$W13+$T13+$Q13+$N13+$K13+$H13+$E13)</f>
        <v>0</v>
      </c>
      <c r="AQ13" s="656">
        <f>AP13/'État des Résultats'!$AP$14</f>
        <v>0</v>
      </c>
    </row>
    <row r="14" spans="2:56" x14ac:dyDescent="0.15">
      <c r="B14" s="704">
        <v>7615</v>
      </c>
      <c r="C14" s="705" t="s">
        <v>310</v>
      </c>
      <c r="E14" s="793">
        <v>0</v>
      </c>
      <c r="F14" s="654">
        <f>E14/'État des Résultats'!E$14</f>
        <v>0</v>
      </c>
      <c r="H14" s="793">
        <v>0</v>
      </c>
      <c r="I14" s="654">
        <f>H14/'État des Résultats'!H$14</f>
        <v>0</v>
      </c>
      <c r="K14" s="793">
        <v>0</v>
      </c>
      <c r="L14" s="654">
        <f>K14/'État des Résultats'!K$14</f>
        <v>0</v>
      </c>
      <c r="N14" s="793">
        <v>0</v>
      </c>
      <c r="O14" s="654">
        <f>N14/'État des Résultats'!N$14</f>
        <v>0</v>
      </c>
      <c r="Q14" s="793">
        <v>0</v>
      </c>
      <c r="R14" s="654">
        <f>Q14/'État des Résultats'!Q$14</f>
        <v>0</v>
      </c>
      <c r="T14" s="793">
        <v>0</v>
      </c>
      <c r="U14" s="654">
        <f>T14/'État des Résultats'!T$14</f>
        <v>0</v>
      </c>
      <c r="W14" s="793">
        <v>0</v>
      </c>
      <c r="X14" s="654">
        <f>W14/'État des Résultats'!W$14</f>
        <v>0</v>
      </c>
      <c r="Z14" s="793">
        <v>0</v>
      </c>
      <c r="AA14" s="654">
        <f>Z14/'État des Résultats'!Z$14</f>
        <v>0</v>
      </c>
      <c r="AC14" s="793">
        <v>0</v>
      </c>
      <c r="AD14" s="654">
        <f>AC14/'État des Résultats'!AC$14</f>
        <v>0</v>
      </c>
      <c r="AF14" s="793">
        <v>0</v>
      </c>
      <c r="AG14" s="654">
        <f>AF14/'État des Résultats'!AF$14</f>
        <v>0</v>
      </c>
      <c r="AI14" s="793">
        <v>0</v>
      </c>
      <c r="AJ14" s="654">
        <f>AI14/'État des Résultats'!AI$14</f>
        <v>0</v>
      </c>
      <c r="AL14" s="793">
        <v>0</v>
      </c>
      <c r="AM14" s="654">
        <f>AL14/'État des Résultats'!AL$14</f>
        <v>0</v>
      </c>
      <c r="AP14" s="655">
        <f>SUM(+$AL14+$AI14+$AF14+$AC14+$Z14+$W14+$T14+$Q14+$N14+$K14+$H14+$E14)</f>
        <v>0</v>
      </c>
      <c r="AQ14" s="656">
        <f>AP14/'État des Résultats'!$AP$14</f>
        <v>0</v>
      </c>
    </row>
    <row r="15" spans="2:56" x14ac:dyDescent="0.15">
      <c r="B15" s="706">
        <v>7620</v>
      </c>
      <c r="C15" s="707" t="s">
        <v>311</v>
      </c>
      <c r="E15" s="797">
        <v>0</v>
      </c>
      <c r="F15" s="654">
        <f>E15/'État des Résultats'!E$14</f>
        <v>0</v>
      </c>
      <c r="H15" s="797">
        <v>0</v>
      </c>
      <c r="I15" s="654">
        <f>H15/'État des Résultats'!H$14</f>
        <v>0</v>
      </c>
      <c r="K15" s="797">
        <v>0</v>
      </c>
      <c r="L15" s="654">
        <f>K15/'État des Résultats'!K$14</f>
        <v>0</v>
      </c>
      <c r="N15" s="797">
        <v>0</v>
      </c>
      <c r="O15" s="654">
        <f>N15/'État des Résultats'!N$14</f>
        <v>0</v>
      </c>
      <c r="Q15" s="797">
        <v>0</v>
      </c>
      <c r="R15" s="654">
        <f>Q15/'État des Résultats'!Q$14</f>
        <v>0</v>
      </c>
      <c r="T15" s="797">
        <v>0</v>
      </c>
      <c r="U15" s="654">
        <f>T15/'État des Résultats'!T$14</f>
        <v>0</v>
      </c>
      <c r="W15" s="797">
        <v>0</v>
      </c>
      <c r="X15" s="654">
        <f>W15/'État des Résultats'!W$14</f>
        <v>0</v>
      </c>
      <c r="Z15" s="797">
        <v>0</v>
      </c>
      <c r="AA15" s="654">
        <f>Z15/'État des Résultats'!Z$14</f>
        <v>0</v>
      </c>
      <c r="AC15" s="797">
        <v>0</v>
      </c>
      <c r="AD15" s="654">
        <f>AC15/'État des Résultats'!AC$14</f>
        <v>0</v>
      </c>
      <c r="AF15" s="797">
        <v>0</v>
      </c>
      <c r="AG15" s="654">
        <f>AF15/'État des Résultats'!AF$14</f>
        <v>0</v>
      </c>
      <c r="AI15" s="797">
        <v>0</v>
      </c>
      <c r="AJ15" s="654">
        <f>AI15/'État des Résultats'!AI$14</f>
        <v>0</v>
      </c>
      <c r="AL15" s="797">
        <v>0</v>
      </c>
      <c r="AM15" s="654">
        <f>AL15/'État des Résultats'!AL$14</f>
        <v>0</v>
      </c>
      <c r="AP15" s="655">
        <f>SUM(+$AL15+$AI15+$AF15+$AC15+$Z15+$W15+$T15+$Q15+$N15+$K15+$H15+$E15)</f>
        <v>0</v>
      </c>
      <c r="AQ15" s="656">
        <f>AP15/'État des Résultats'!$AP$14</f>
        <v>0</v>
      </c>
    </row>
    <row r="16" spans="2:56" x14ac:dyDescent="0.15">
      <c r="B16" s="706">
        <v>7630</v>
      </c>
      <c r="C16" s="707" t="s">
        <v>312</v>
      </c>
      <c r="E16" s="793">
        <v>0</v>
      </c>
      <c r="F16" s="654">
        <f>E16/'État des Résultats'!E$14</f>
        <v>0</v>
      </c>
      <c r="G16" s="658" t="s">
        <v>2</v>
      </c>
      <c r="H16" s="793">
        <v>0</v>
      </c>
      <c r="I16" s="654">
        <f>H16/'État des Résultats'!H$14</f>
        <v>0</v>
      </c>
      <c r="K16" s="793">
        <v>0</v>
      </c>
      <c r="L16" s="654">
        <f>K16/'État des Résultats'!K$14</f>
        <v>0</v>
      </c>
      <c r="N16" s="793">
        <v>0</v>
      </c>
      <c r="O16" s="654">
        <f>N16/'État des Résultats'!N$14</f>
        <v>0</v>
      </c>
      <c r="Q16" s="793">
        <v>0</v>
      </c>
      <c r="R16" s="654">
        <f>Q16/'État des Résultats'!Q$14</f>
        <v>0</v>
      </c>
      <c r="T16" s="793">
        <v>0</v>
      </c>
      <c r="U16" s="654">
        <f>T16/'État des Résultats'!T$14</f>
        <v>0</v>
      </c>
      <c r="W16" s="793">
        <v>0</v>
      </c>
      <c r="X16" s="654">
        <f>W16/'État des Résultats'!W$14</f>
        <v>0</v>
      </c>
      <c r="Z16" s="793">
        <v>0</v>
      </c>
      <c r="AA16" s="654">
        <f>Z16/'État des Résultats'!Z$14</f>
        <v>0</v>
      </c>
      <c r="AC16" s="793">
        <v>0</v>
      </c>
      <c r="AD16" s="654">
        <f>AC16/'État des Résultats'!AC$14</f>
        <v>0</v>
      </c>
      <c r="AF16" s="793">
        <v>0</v>
      </c>
      <c r="AG16" s="654">
        <f>AF16/'État des Résultats'!AF$14</f>
        <v>0</v>
      </c>
      <c r="AI16" s="793">
        <v>0</v>
      </c>
      <c r="AJ16" s="654">
        <f>AI16/'État des Résultats'!AI$14</f>
        <v>0</v>
      </c>
      <c r="AL16" s="793">
        <v>0</v>
      </c>
      <c r="AM16" s="654">
        <f>AL16/'État des Résultats'!AL$14</f>
        <v>0</v>
      </c>
      <c r="AP16" s="655">
        <f t="shared" ref="AP16:AP23" si="0">SUM(+$AL16+$AI16+$AF16+$AC16+$Z16+$W16+$T16+$Q16+$N16+$K16+$H16+$E16)</f>
        <v>0</v>
      </c>
      <c r="AQ16" s="656">
        <f>AP16/'État des Résultats'!$AP$14</f>
        <v>0</v>
      </c>
    </row>
    <row r="17" spans="2:69" x14ac:dyDescent="0.15">
      <c r="B17" s="706">
        <v>7640</v>
      </c>
      <c r="C17" s="707" t="s">
        <v>313</v>
      </c>
      <c r="E17" s="793">
        <v>0</v>
      </c>
      <c r="F17" s="654">
        <f>E17/'État des Résultats'!E$14</f>
        <v>0</v>
      </c>
      <c r="H17" s="793">
        <v>0</v>
      </c>
      <c r="I17" s="654">
        <f>H17/'État des Résultats'!H$14</f>
        <v>0</v>
      </c>
      <c r="K17" s="793">
        <v>0</v>
      </c>
      <c r="L17" s="654">
        <f>K17/'État des Résultats'!K$14</f>
        <v>0</v>
      </c>
      <c r="N17" s="793">
        <v>0</v>
      </c>
      <c r="O17" s="654">
        <f>N17/'État des Résultats'!N$14</f>
        <v>0</v>
      </c>
      <c r="Q17" s="793">
        <v>0</v>
      </c>
      <c r="R17" s="654">
        <f>Q17/'État des Résultats'!Q$14</f>
        <v>0</v>
      </c>
      <c r="T17" s="793">
        <v>0</v>
      </c>
      <c r="U17" s="654">
        <f>T17/'État des Résultats'!T$14</f>
        <v>0</v>
      </c>
      <c r="W17" s="793">
        <v>0</v>
      </c>
      <c r="X17" s="654">
        <f>W17/'État des Résultats'!W$14</f>
        <v>0</v>
      </c>
      <c r="Z17" s="793">
        <v>0</v>
      </c>
      <c r="AA17" s="654">
        <f>Z17/'État des Résultats'!Z$14</f>
        <v>0</v>
      </c>
      <c r="AC17" s="793">
        <v>0</v>
      </c>
      <c r="AD17" s="654">
        <f>AC17/'État des Résultats'!AC$14</f>
        <v>0</v>
      </c>
      <c r="AF17" s="793">
        <v>0</v>
      </c>
      <c r="AG17" s="654">
        <f>AF17/'État des Résultats'!AF$14</f>
        <v>0</v>
      </c>
      <c r="AI17" s="793">
        <v>0</v>
      </c>
      <c r="AJ17" s="654">
        <f>AI17/'État des Résultats'!AI$14</f>
        <v>0</v>
      </c>
      <c r="AL17" s="793">
        <v>0</v>
      </c>
      <c r="AM17" s="654">
        <f>AL17/'État des Résultats'!AL$14</f>
        <v>0</v>
      </c>
      <c r="AP17" s="655">
        <f t="shared" si="0"/>
        <v>0</v>
      </c>
      <c r="AQ17" s="656">
        <f>AP17/'État des Résultats'!$AP$14</f>
        <v>0</v>
      </c>
    </row>
    <row r="18" spans="2:69" x14ac:dyDescent="0.15">
      <c r="B18" s="706">
        <v>7650</v>
      </c>
      <c r="C18" s="707" t="s">
        <v>314</v>
      </c>
      <c r="E18" s="793">
        <v>0</v>
      </c>
      <c r="F18" s="654">
        <f>E18/'État des Résultats'!E$14</f>
        <v>0</v>
      </c>
      <c r="H18" s="793">
        <v>0</v>
      </c>
      <c r="I18" s="654">
        <f>H18/'État des Résultats'!H$14</f>
        <v>0</v>
      </c>
      <c r="K18" s="793">
        <v>0</v>
      </c>
      <c r="L18" s="654">
        <f>K18/'État des Résultats'!K$14</f>
        <v>0</v>
      </c>
      <c r="N18" s="793">
        <v>0</v>
      </c>
      <c r="O18" s="654">
        <f>N18/'État des Résultats'!N$14</f>
        <v>0</v>
      </c>
      <c r="Q18" s="793">
        <v>0</v>
      </c>
      <c r="R18" s="654">
        <f>Q18/'État des Résultats'!Q$14</f>
        <v>0</v>
      </c>
      <c r="T18" s="793">
        <v>0</v>
      </c>
      <c r="U18" s="654">
        <f>T18/'État des Résultats'!T$14</f>
        <v>0</v>
      </c>
      <c r="W18" s="793">
        <v>0</v>
      </c>
      <c r="X18" s="654">
        <f>W18/'État des Résultats'!W$14</f>
        <v>0</v>
      </c>
      <c r="Z18" s="793">
        <v>0</v>
      </c>
      <c r="AA18" s="654">
        <f>Z18/'État des Résultats'!Z$14</f>
        <v>0</v>
      </c>
      <c r="AC18" s="793">
        <v>0</v>
      </c>
      <c r="AD18" s="654">
        <f>AC18/'État des Résultats'!AC$14</f>
        <v>0</v>
      </c>
      <c r="AF18" s="793">
        <v>0</v>
      </c>
      <c r="AG18" s="654">
        <f>AF18/'État des Résultats'!AF$14</f>
        <v>0</v>
      </c>
      <c r="AI18" s="793">
        <v>0</v>
      </c>
      <c r="AJ18" s="654">
        <f>AI18/'État des Résultats'!AI$14</f>
        <v>0</v>
      </c>
      <c r="AL18" s="793">
        <v>0</v>
      </c>
      <c r="AM18" s="654">
        <f>AL18/'État des Résultats'!AL$14</f>
        <v>0</v>
      </c>
      <c r="AP18" s="655">
        <f t="shared" si="0"/>
        <v>0</v>
      </c>
      <c r="AQ18" s="656">
        <f>AP18/'État des Résultats'!$AP$14</f>
        <v>0</v>
      </c>
    </row>
    <row r="19" spans="2:69" x14ac:dyDescent="0.15">
      <c r="B19" s="706">
        <v>7660</v>
      </c>
      <c r="C19" s="707" t="s">
        <v>315</v>
      </c>
      <c r="E19" s="793">
        <v>0</v>
      </c>
      <c r="F19" s="654">
        <f>E19/'État des Résultats'!E$14</f>
        <v>0</v>
      </c>
      <c r="H19" s="793">
        <v>0</v>
      </c>
      <c r="I19" s="654">
        <f>H19/'État des Résultats'!H$14</f>
        <v>0</v>
      </c>
      <c r="K19" s="793">
        <v>0</v>
      </c>
      <c r="L19" s="654">
        <f>K19/'État des Résultats'!K$14</f>
        <v>0</v>
      </c>
      <c r="N19" s="793">
        <v>0</v>
      </c>
      <c r="O19" s="654">
        <f>N19/'État des Résultats'!N$14</f>
        <v>0</v>
      </c>
      <c r="Q19" s="793">
        <v>0</v>
      </c>
      <c r="R19" s="654">
        <f>Q19/'État des Résultats'!Q$14</f>
        <v>0</v>
      </c>
      <c r="T19" s="793">
        <v>0</v>
      </c>
      <c r="U19" s="654">
        <f>T19/'État des Résultats'!T$14</f>
        <v>0</v>
      </c>
      <c r="W19" s="793">
        <v>0</v>
      </c>
      <c r="X19" s="654">
        <f>W19/'État des Résultats'!W$14</f>
        <v>0</v>
      </c>
      <c r="Z19" s="793">
        <v>0</v>
      </c>
      <c r="AA19" s="654">
        <f>Z19/'État des Résultats'!Z$14</f>
        <v>0</v>
      </c>
      <c r="AC19" s="793">
        <v>0</v>
      </c>
      <c r="AD19" s="654">
        <f>AC19/'État des Résultats'!AC$14</f>
        <v>0</v>
      </c>
      <c r="AF19" s="793">
        <v>0</v>
      </c>
      <c r="AG19" s="654">
        <f>AF19/'État des Résultats'!AF$14</f>
        <v>0</v>
      </c>
      <c r="AI19" s="793">
        <v>0</v>
      </c>
      <c r="AJ19" s="654">
        <f>AI19/'État des Résultats'!AI$14</f>
        <v>0</v>
      </c>
      <c r="AL19" s="793">
        <v>0</v>
      </c>
      <c r="AM19" s="654">
        <f>AL19/'État des Résultats'!AL$14</f>
        <v>0</v>
      </c>
      <c r="AP19" s="655">
        <f t="shared" si="0"/>
        <v>0</v>
      </c>
      <c r="AQ19" s="656">
        <f>AP19/'État des Résultats'!$AP$14</f>
        <v>0</v>
      </c>
      <c r="AS19" s="209"/>
    </row>
    <row r="20" spans="2:69" x14ac:dyDescent="0.15">
      <c r="B20" s="706">
        <v>7670</v>
      </c>
      <c r="C20" s="707" t="s">
        <v>316</v>
      </c>
      <c r="E20" s="793">
        <v>0</v>
      </c>
      <c r="F20" s="654">
        <f>E20/'État des Résultats'!E$14</f>
        <v>0</v>
      </c>
      <c r="H20" s="793">
        <v>0</v>
      </c>
      <c r="I20" s="654">
        <f>H20/'État des Résultats'!H$14</f>
        <v>0</v>
      </c>
      <c r="K20" s="793">
        <v>0</v>
      </c>
      <c r="L20" s="654">
        <f>K20/'État des Résultats'!K$14</f>
        <v>0</v>
      </c>
      <c r="N20" s="793">
        <v>0</v>
      </c>
      <c r="O20" s="654">
        <f>N20/'État des Résultats'!N$14</f>
        <v>0</v>
      </c>
      <c r="Q20" s="793">
        <v>0</v>
      </c>
      <c r="R20" s="654">
        <f>Q20/'État des Résultats'!Q$14</f>
        <v>0</v>
      </c>
      <c r="T20" s="793">
        <v>0</v>
      </c>
      <c r="U20" s="654">
        <f>T20/'État des Résultats'!T$14</f>
        <v>0</v>
      </c>
      <c r="W20" s="793">
        <v>0</v>
      </c>
      <c r="X20" s="654">
        <f>W20/'État des Résultats'!W$14</f>
        <v>0</v>
      </c>
      <c r="Z20" s="793">
        <v>0</v>
      </c>
      <c r="AA20" s="654">
        <f>Z20/'État des Résultats'!Z$14</f>
        <v>0</v>
      </c>
      <c r="AC20" s="793">
        <v>0</v>
      </c>
      <c r="AD20" s="654">
        <f>AC20/'État des Résultats'!AC$14</f>
        <v>0</v>
      </c>
      <c r="AF20" s="793">
        <v>0</v>
      </c>
      <c r="AG20" s="654">
        <f>AF20/'État des Résultats'!AF$14</f>
        <v>0</v>
      </c>
      <c r="AI20" s="793">
        <v>0</v>
      </c>
      <c r="AJ20" s="654">
        <f>AI20/'État des Résultats'!AI$14</f>
        <v>0</v>
      </c>
      <c r="AL20" s="793">
        <v>0</v>
      </c>
      <c r="AM20" s="654">
        <f>AL20/'État des Résultats'!AL$14</f>
        <v>0</v>
      </c>
      <c r="AP20" s="655">
        <f t="shared" si="0"/>
        <v>0</v>
      </c>
      <c r="AQ20" s="656">
        <f>AP20/'État des Résultats'!$AP$14</f>
        <v>0</v>
      </c>
    </row>
    <row r="21" spans="2:69" x14ac:dyDescent="0.15">
      <c r="B21" s="706">
        <v>7680</v>
      </c>
      <c r="C21" s="707" t="s">
        <v>317</v>
      </c>
      <c r="E21" s="793">
        <v>0</v>
      </c>
      <c r="F21" s="654">
        <f>E21/'État des Résultats'!E$14</f>
        <v>0</v>
      </c>
      <c r="H21" s="793">
        <v>0</v>
      </c>
      <c r="I21" s="654">
        <f>H21/'État des Résultats'!H$14</f>
        <v>0</v>
      </c>
      <c r="K21" s="793">
        <v>0</v>
      </c>
      <c r="L21" s="654">
        <f>K21/'État des Résultats'!K$14</f>
        <v>0</v>
      </c>
      <c r="N21" s="793">
        <v>0</v>
      </c>
      <c r="O21" s="654">
        <f>N21/'État des Résultats'!N$14</f>
        <v>0</v>
      </c>
      <c r="Q21" s="793">
        <v>0</v>
      </c>
      <c r="R21" s="654">
        <f>Q21/'État des Résultats'!Q$14</f>
        <v>0</v>
      </c>
      <c r="T21" s="793">
        <v>0</v>
      </c>
      <c r="U21" s="654">
        <f>T21/'État des Résultats'!T$14</f>
        <v>0</v>
      </c>
      <c r="W21" s="793">
        <v>0</v>
      </c>
      <c r="X21" s="654">
        <f>W21/'État des Résultats'!W$14</f>
        <v>0</v>
      </c>
      <c r="Z21" s="793">
        <v>0</v>
      </c>
      <c r="AA21" s="654">
        <f>Z21/'État des Résultats'!Z$14</f>
        <v>0</v>
      </c>
      <c r="AC21" s="793">
        <v>0</v>
      </c>
      <c r="AD21" s="654">
        <f>AC21/'État des Résultats'!AC$14</f>
        <v>0</v>
      </c>
      <c r="AF21" s="793">
        <v>0</v>
      </c>
      <c r="AG21" s="654">
        <f>AF21/'État des Résultats'!AF$14</f>
        <v>0</v>
      </c>
      <c r="AI21" s="793">
        <v>0</v>
      </c>
      <c r="AJ21" s="654">
        <f>AI21/'État des Résultats'!AI$14</f>
        <v>0</v>
      </c>
      <c r="AL21" s="793">
        <v>0</v>
      </c>
      <c r="AM21" s="654">
        <f>AL21/'État des Résultats'!AL$14</f>
        <v>0</v>
      </c>
      <c r="AP21" s="655">
        <f t="shared" si="0"/>
        <v>0</v>
      </c>
      <c r="AQ21" s="656">
        <f>AP21/'État des Résultats'!$AP$14</f>
        <v>0</v>
      </c>
    </row>
    <row r="22" spans="2:69" x14ac:dyDescent="0.15">
      <c r="B22" s="706">
        <v>7690</v>
      </c>
      <c r="C22" s="707" t="s">
        <v>318</v>
      </c>
      <c r="E22" s="793">
        <v>0</v>
      </c>
      <c r="F22" s="654">
        <f>E22/'État des Résultats'!E$14</f>
        <v>0</v>
      </c>
      <c r="H22" s="793">
        <v>0</v>
      </c>
      <c r="I22" s="654">
        <f>H22/'État des Résultats'!H$14</f>
        <v>0</v>
      </c>
      <c r="K22" s="793">
        <v>0</v>
      </c>
      <c r="L22" s="654">
        <f>K22/'État des Résultats'!K$14</f>
        <v>0</v>
      </c>
      <c r="N22" s="793">
        <v>0</v>
      </c>
      <c r="O22" s="654">
        <f>N22/'État des Résultats'!N$14</f>
        <v>0</v>
      </c>
      <c r="Q22" s="793">
        <v>0</v>
      </c>
      <c r="R22" s="654">
        <f>Q22/'État des Résultats'!Q$14</f>
        <v>0</v>
      </c>
      <c r="T22" s="793">
        <v>0</v>
      </c>
      <c r="U22" s="654">
        <f>T22/'État des Résultats'!T$14</f>
        <v>0</v>
      </c>
      <c r="W22" s="793">
        <v>0</v>
      </c>
      <c r="X22" s="654">
        <f>W22/'État des Résultats'!W$14</f>
        <v>0</v>
      </c>
      <c r="Z22" s="793">
        <v>0</v>
      </c>
      <c r="AA22" s="654">
        <f>Z22/'État des Résultats'!Z$14</f>
        <v>0</v>
      </c>
      <c r="AC22" s="793">
        <v>0</v>
      </c>
      <c r="AD22" s="654">
        <f>AC22/'État des Résultats'!AC$14</f>
        <v>0</v>
      </c>
      <c r="AF22" s="793">
        <v>0</v>
      </c>
      <c r="AG22" s="654">
        <f>AF22/'État des Résultats'!AF$14</f>
        <v>0</v>
      </c>
      <c r="AI22" s="793">
        <v>0</v>
      </c>
      <c r="AJ22" s="654">
        <f>AI22/'État des Résultats'!AI$14</f>
        <v>0</v>
      </c>
      <c r="AL22" s="793">
        <v>0</v>
      </c>
      <c r="AM22" s="654">
        <f>AL22/'État des Résultats'!AL$14</f>
        <v>0</v>
      </c>
      <c r="AP22" s="655">
        <f t="shared" si="0"/>
        <v>0</v>
      </c>
      <c r="AQ22" s="656">
        <f>AP22/'État des Résultats'!$AP$14</f>
        <v>0</v>
      </c>
    </row>
    <row r="23" spans="2:69" x14ac:dyDescent="0.15">
      <c r="B23" s="706">
        <v>7699</v>
      </c>
      <c r="C23" s="707" t="s">
        <v>319</v>
      </c>
      <c r="E23" s="793">
        <f>0.05*'État des Résultats'!E14</f>
        <v>3649.3333333333339</v>
      </c>
      <c r="F23" s="654">
        <f>E23/'État des Résultats'!E$14</f>
        <v>0.05</v>
      </c>
      <c r="H23" s="793">
        <f>0.05*'État des Résultats'!H14</f>
        <v>3537.2083333333339</v>
      </c>
      <c r="I23" s="654">
        <f>H23/'État des Résultats'!H$14</f>
        <v>0.05</v>
      </c>
      <c r="K23" s="793">
        <f>0.05*'État des Résultats'!K14</f>
        <v>3941.625</v>
      </c>
      <c r="L23" s="654">
        <f>K23/'État des Résultats'!K$14</f>
        <v>0.05</v>
      </c>
      <c r="N23" s="793">
        <f>0.05*'État des Résultats'!N14</f>
        <v>4136.9008750000003</v>
      </c>
      <c r="O23" s="654">
        <f>N23/'État des Résultats'!N$14</f>
        <v>0.05</v>
      </c>
      <c r="Q23" s="793">
        <f>0.05*'État des Résultats'!Q14</f>
        <v>4454.0533333333333</v>
      </c>
      <c r="R23" s="654">
        <f>Q23/'État des Résultats'!Q$14</f>
        <v>0.05</v>
      </c>
      <c r="T23" s="793">
        <f>0.05*'État des Résultats'!T14</f>
        <v>4577.3351666666667</v>
      </c>
      <c r="U23" s="654">
        <f>T23/'État des Résultats'!T$14</f>
        <v>4.9999999999999996E-2</v>
      </c>
      <c r="W23" s="793">
        <f>0.05*'État des Résultats'!W14</f>
        <v>4916.5877500000015</v>
      </c>
      <c r="X23" s="654">
        <f>W23/'État des Résultats'!W$14</f>
        <v>0.05</v>
      </c>
      <c r="Z23" s="793">
        <f>0.05*'État des Résultats'!Z14</f>
        <v>4981.4830000000002</v>
      </c>
      <c r="AA23" s="654">
        <f>Z23/'État des Résultats'!Z$14</f>
        <v>0.05</v>
      </c>
      <c r="AC23" s="793">
        <f>0.05*'État des Résultats'!AC14</f>
        <v>4555.0285000000003</v>
      </c>
      <c r="AD23" s="654">
        <f>AC23/'État des Résultats'!AC$14</f>
        <v>0.05</v>
      </c>
      <c r="AF23" s="793">
        <f>0.05*'État des Résultats'!AF14</f>
        <v>4717.9315833333339</v>
      </c>
      <c r="AG23" s="654">
        <f>AF23/'État des Résultats'!AF$14</f>
        <v>4.9999999999999996E-2</v>
      </c>
      <c r="AI23" s="793">
        <f>0.05*'État des Résultats'!AI14</f>
        <v>4385.3525833333333</v>
      </c>
      <c r="AJ23" s="654">
        <f>AI23/'État des Résultats'!AI$14</f>
        <v>0.05</v>
      </c>
      <c r="AL23" s="793">
        <f>0.05*'État des Résultats'!AL14</f>
        <v>4873.5615000000007</v>
      </c>
      <c r="AM23" s="654">
        <f>AL23/'État des Résultats'!AL$14</f>
        <v>0.05</v>
      </c>
      <c r="AP23" s="655">
        <f t="shared" si="0"/>
        <v>52726.400958333346</v>
      </c>
      <c r="AQ23" s="656">
        <f>AP23/'État des Résultats'!$AP$14</f>
        <v>5.0000000000000017E-2</v>
      </c>
    </row>
    <row r="24" spans="2:69" ht="14" thickBot="1" x14ac:dyDescent="0.2">
      <c r="B24" s="708" t="s">
        <v>2</v>
      </c>
      <c r="C24" s="709"/>
      <c r="E24" s="794" t="s">
        <v>2</v>
      </c>
      <c r="F24" s="659" t="s">
        <v>2</v>
      </c>
      <c r="H24" s="794" t="s">
        <v>2</v>
      </c>
      <c r="I24" s="659" t="s">
        <v>2</v>
      </c>
      <c r="K24" s="794" t="s">
        <v>2</v>
      </c>
      <c r="L24" s="659" t="s">
        <v>2</v>
      </c>
      <c r="N24" s="794" t="s">
        <v>2</v>
      </c>
      <c r="O24" s="659" t="s">
        <v>2</v>
      </c>
      <c r="Q24" s="794" t="s">
        <v>2</v>
      </c>
      <c r="R24" s="659" t="s">
        <v>2</v>
      </c>
      <c r="S24" s="710"/>
      <c r="T24" s="794" t="s">
        <v>2</v>
      </c>
      <c r="U24" s="659" t="s">
        <v>2</v>
      </c>
      <c r="W24" s="794" t="s">
        <v>2</v>
      </c>
      <c r="X24" s="659" t="s">
        <v>2</v>
      </c>
      <c r="Z24" s="794" t="s">
        <v>2</v>
      </c>
      <c r="AA24" s="659" t="s">
        <v>2</v>
      </c>
      <c r="AC24" s="794" t="s">
        <v>2</v>
      </c>
      <c r="AD24" s="659" t="s">
        <v>2</v>
      </c>
      <c r="AF24" s="794" t="s">
        <v>2</v>
      </c>
      <c r="AG24" s="659" t="s">
        <v>2</v>
      </c>
      <c r="AI24" s="794" t="s">
        <v>2</v>
      </c>
      <c r="AJ24" s="659" t="s">
        <v>2</v>
      </c>
      <c r="AL24" s="794" t="s">
        <v>2</v>
      </c>
      <c r="AM24" s="659" t="s">
        <v>2</v>
      </c>
      <c r="AP24" s="655" t="s">
        <v>2</v>
      </c>
      <c r="AQ24" s="660" t="s">
        <v>2</v>
      </c>
    </row>
    <row r="25" spans="2:69" ht="15" thickTop="1" thickBot="1" x14ac:dyDescent="0.2">
      <c r="B25" s="469">
        <v>7600</v>
      </c>
      <c r="C25" s="470" t="s">
        <v>320</v>
      </c>
      <c r="D25" s="213"/>
      <c r="E25" s="795">
        <f>SUM(E13:E23)</f>
        <v>3649.3333333333339</v>
      </c>
      <c r="F25" s="662">
        <f>SUM(F13:F23)</f>
        <v>0.05</v>
      </c>
      <c r="G25" s="213"/>
      <c r="H25" s="795">
        <f>SUM(H13:H23)</f>
        <v>3537.2083333333339</v>
      </c>
      <c r="I25" s="662">
        <f>SUM(I13:I23)</f>
        <v>0.05</v>
      </c>
      <c r="J25" s="213"/>
      <c r="K25" s="795">
        <f>SUM(K13:K23)</f>
        <v>3941.625</v>
      </c>
      <c r="L25" s="662">
        <f>SUM(L13:L23)</f>
        <v>0.05</v>
      </c>
      <c r="M25" s="213"/>
      <c r="N25" s="795">
        <f>SUM(N13:N23)</f>
        <v>4136.9008750000003</v>
      </c>
      <c r="O25" s="662">
        <f>SUM(O13:O23)</f>
        <v>0.05</v>
      </c>
      <c r="P25" s="213"/>
      <c r="Q25" s="795">
        <f>SUM(Q13:Q23)</f>
        <v>4454.0533333333333</v>
      </c>
      <c r="R25" s="662">
        <f>SUM(R13:R23)</f>
        <v>0.05</v>
      </c>
      <c r="S25" s="213"/>
      <c r="T25" s="795">
        <f>SUM(T13:T23)</f>
        <v>4577.3351666666667</v>
      </c>
      <c r="U25" s="662">
        <f>SUM(U13:U23)</f>
        <v>4.9999999999999996E-2</v>
      </c>
      <c r="V25" s="213"/>
      <c r="W25" s="795">
        <f>SUM(W13:W23)</f>
        <v>4916.5877500000015</v>
      </c>
      <c r="X25" s="662">
        <f>SUM(X13:X23)</f>
        <v>0.05</v>
      </c>
      <c r="Y25" s="213"/>
      <c r="Z25" s="795">
        <f>SUM(Z13:Z23)</f>
        <v>4981.4830000000002</v>
      </c>
      <c r="AA25" s="662">
        <f>SUM(AA13:AA23)</f>
        <v>0.05</v>
      </c>
      <c r="AB25" s="213"/>
      <c r="AC25" s="795">
        <f>SUM(AC13:AC23)</f>
        <v>4555.0285000000003</v>
      </c>
      <c r="AD25" s="662">
        <f>SUM(AD13:AD23)</f>
        <v>0.05</v>
      </c>
      <c r="AE25" s="213"/>
      <c r="AF25" s="795">
        <f>SUM(AF13:AF23)</f>
        <v>4717.9315833333339</v>
      </c>
      <c r="AG25" s="662">
        <f>SUM(AG13:AG23)</f>
        <v>4.9999999999999996E-2</v>
      </c>
      <c r="AH25" s="213"/>
      <c r="AI25" s="795">
        <f>SUM(AI13:AI23)</f>
        <v>4385.3525833333333</v>
      </c>
      <c r="AJ25" s="662">
        <f>SUM(AJ13:AJ23)</f>
        <v>0.05</v>
      </c>
      <c r="AK25" s="213"/>
      <c r="AL25" s="795">
        <f>SUM(AL13:AL23)</f>
        <v>4873.5615000000007</v>
      </c>
      <c r="AM25" s="662">
        <f>SUM(AM13:AM23)</f>
        <v>0.05</v>
      </c>
      <c r="AN25" s="213"/>
      <c r="AO25" s="213"/>
      <c r="AP25" s="661">
        <f>SUM(AP13:AP23)</f>
        <v>52726.400958333346</v>
      </c>
      <c r="AQ25" s="662">
        <f>SUM(AQ13:AQ23)</f>
        <v>5.0000000000000017E-2</v>
      </c>
      <c r="AR25" s="213"/>
      <c r="AS25" s="213"/>
      <c r="AT25" s="213"/>
      <c r="AU25" s="251"/>
    </row>
    <row r="26" spans="2:69" ht="14" thickTop="1" x14ac:dyDescent="0.15">
      <c r="L26" s="314"/>
      <c r="O26" s="314"/>
      <c r="R26" s="314"/>
      <c r="U26" s="314"/>
      <c r="X26" s="314"/>
      <c r="AA26" s="314"/>
      <c r="AD26" s="314"/>
      <c r="AG26" s="314"/>
      <c r="AJ26" s="314"/>
      <c r="AM26" s="314"/>
      <c r="AQ26" s="314"/>
    </row>
    <row r="27" spans="2:69" x14ac:dyDescent="0.15">
      <c r="R27" s="314"/>
      <c r="U27" s="314"/>
      <c r="X27" s="314"/>
      <c r="AD27" s="314"/>
      <c r="AG27" s="314"/>
      <c r="AJ27" s="314"/>
      <c r="AM27" s="314"/>
    </row>
    <row r="28" spans="2:69" x14ac:dyDescent="0.15">
      <c r="U28" s="314"/>
      <c r="AG28" s="314"/>
      <c r="AJ28" s="314"/>
      <c r="AM28" s="314"/>
    </row>
    <row r="29" spans="2:69" x14ac:dyDescent="0.15">
      <c r="C29" s="161" t="s">
        <v>2</v>
      </c>
      <c r="E29" s="161" t="s">
        <v>2</v>
      </c>
      <c r="G29" s="161" t="s">
        <v>2</v>
      </c>
      <c r="H29" s="161" t="s">
        <v>2</v>
      </c>
      <c r="U29" s="314"/>
      <c r="AG29" s="314"/>
      <c r="AJ29" s="314"/>
      <c r="AM29" s="314"/>
    </row>
    <row r="30" spans="2:69" x14ac:dyDescent="0.15">
      <c r="H30" s="161" t="s">
        <v>2</v>
      </c>
      <c r="AG30" s="314"/>
      <c r="AJ30" s="314"/>
      <c r="AM30" s="314"/>
    </row>
    <row r="31" spans="2:69" x14ac:dyDescent="0.15">
      <c r="H31" s="161" t="s">
        <v>2</v>
      </c>
      <c r="AM31" s="314"/>
    </row>
    <row r="32" spans="2:69" x14ac:dyDescent="0.15">
      <c r="H32" s="161" t="s">
        <v>2</v>
      </c>
      <c r="BB32" s="170"/>
      <c r="BC32" s="170"/>
      <c r="BD32" s="170"/>
      <c r="BE32" s="170"/>
      <c r="BF32" s="170"/>
      <c r="BG32" s="170"/>
      <c r="BH32" s="170"/>
      <c r="BI32" s="170"/>
      <c r="BJ32" s="170"/>
      <c r="BK32" s="170"/>
      <c r="BL32" s="170"/>
      <c r="BM32" s="170"/>
      <c r="BN32" s="170"/>
      <c r="BO32" s="170"/>
      <c r="BP32" s="170"/>
      <c r="BQ32" s="170"/>
    </row>
    <row r="33" spans="8:8" x14ac:dyDescent="0.15">
      <c r="H33" s="161" t="s">
        <v>2</v>
      </c>
    </row>
    <row r="34" spans="8:8" x14ac:dyDescent="0.15">
      <c r="H34" s="161" t="s">
        <v>2</v>
      </c>
    </row>
    <row r="44" spans="8:8" x14ac:dyDescent="0.15">
      <c r="H44" s="663"/>
    </row>
  </sheetData>
  <sheetProtection algorithmName="SHA-512" hashValue="bKptCVaEuMH5ml6AbqJV4rsVr49eXhgHw9184JSMF8mDNOuTNH9cph78THOYGyPvWTwJSElQMgR8a8U67j2AKg==" saltValue="dXmjv5IdmT+7LlkXefiU2g==" spinCount="100000" sheet="1" objects="1" scenarios="1"/>
  <mergeCells count="9">
    <mergeCell ref="BC2:BC8"/>
    <mergeCell ref="B6:C6"/>
    <mergeCell ref="B7:C7"/>
    <mergeCell ref="B8:C8"/>
    <mergeCell ref="B9:C9"/>
    <mergeCell ref="B2:C2"/>
    <mergeCell ref="B3:C3"/>
    <mergeCell ref="B4:C4"/>
    <mergeCell ref="AS2:AS8"/>
  </mergeCells>
  <hyperlinks>
    <hyperlink ref="C11" r:id="rId1" xr:uid="{F51A30BF-962D-E64C-B4E5-42142A90C6DA}"/>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ignoredErrors>
    <ignoredError sqref="E23 H23 K23 N23 Q23 T23 W23 Z23 AC23 AF23 AI23 AL23" unlockedFormula="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35E8-30CE-0F40-8448-81529712EC14}">
  <sheetPr>
    <tabColor theme="1"/>
    <pageSetUpPr fitToPage="1"/>
  </sheetPr>
  <dimension ref="B1:BQ42"/>
  <sheetViews>
    <sheetView zoomScale="125" zoomScaleNormal="125" zoomScalePageLayoutView="125" workbookViewId="0">
      <selection activeCell="D13" sqref="D13"/>
    </sheetView>
  </sheetViews>
  <sheetFormatPr baseColWidth="10" defaultRowHeight="13" x14ac:dyDescent="0.15"/>
  <cols>
    <col min="1" max="1" width="2.1640625" style="161" customWidth="1"/>
    <col min="2" max="2" width="5.1640625" style="161" customWidth="1"/>
    <col min="3" max="3" width="42.66406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16406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7.83203125" style="161" bestFit="1" customWidth="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1430" t="str">
        <f>'Coût marchandises vendues'!B2</f>
        <v>Les Multiples Plaisirs gourmands</v>
      </c>
      <c r="C2" s="1431"/>
      <c r="AS2" s="1388" t="s">
        <v>42</v>
      </c>
      <c r="AT2" s="366"/>
      <c r="AU2" s="366"/>
      <c r="AV2" s="366"/>
      <c r="AW2" s="366"/>
      <c r="AX2" s="366"/>
      <c r="AY2" s="366"/>
      <c r="AZ2" s="366"/>
      <c r="BA2" s="366"/>
      <c r="BB2" s="366"/>
      <c r="BC2" s="1391" t="s">
        <v>43</v>
      </c>
    </row>
    <row r="3" spans="2:56" ht="20" customHeight="1" x14ac:dyDescent="0.2">
      <c r="B3" s="1432" t="str">
        <f>'Coût marchandises vendues'!B3</f>
        <v xml:space="preserve">États des résultats </v>
      </c>
      <c r="C3" s="1433"/>
      <c r="AS3" s="1389"/>
      <c r="AT3" s="367"/>
      <c r="AU3" s="367"/>
      <c r="AV3" s="367"/>
      <c r="AW3" s="367"/>
      <c r="AX3" s="367"/>
      <c r="AY3" s="367"/>
      <c r="AZ3" s="367"/>
      <c r="BA3" s="367"/>
      <c r="BB3" s="367"/>
      <c r="BC3" s="1392"/>
    </row>
    <row r="4" spans="2:56" ht="20" customHeight="1" thickBot="1" x14ac:dyDescent="0.3">
      <c r="B4" s="1434" t="str">
        <f>'Coût marchandises vendues'!B4</f>
        <v>Pour la période du 1er janvier 2021 au 31 décembre 2021</v>
      </c>
      <c r="C4" s="1435"/>
      <c r="AS4" s="1389"/>
      <c r="AT4" s="368" t="str">
        <f>'Formule pour le calcul D'!BA103</f>
        <v>Coût annuel</v>
      </c>
      <c r="AU4" s="368" t="s">
        <v>44</v>
      </c>
      <c r="AV4" s="368" t="str">
        <f>'Formule pour le calcul D'!BC103</f>
        <v>Achalandage annuelle</v>
      </c>
      <c r="AW4" s="368" t="s">
        <v>45</v>
      </c>
      <c r="AX4" s="368" t="s">
        <v>46</v>
      </c>
      <c r="AY4" s="368" t="str">
        <f>'Formule pour le calcul D'!BF103</f>
        <v>Um/A</v>
      </c>
      <c r="AZ4" s="368" t="s">
        <v>45</v>
      </c>
      <c r="BA4" s="368" t="str">
        <f>'Formule pour le calcul D'!BH103</f>
        <v>CmO</v>
      </c>
      <c r="BB4" s="368" t="s">
        <v>49</v>
      </c>
      <c r="BC4" s="1392"/>
    </row>
    <row r="5" spans="2:56" ht="21" thickTop="1" thickBot="1" x14ac:dyDescent="0.3">
      <c r="AS5" s="1389"/>
      <c r="AT5" s="369" t="s">
        <v>2</v>
      </c>
      <c r="AU5" s="370"/>
      <c r="AV5" s="369"/>
      <c r="AW5" s="370"/>
      <c r="AX5" s="370"/>
      <c r="AY5" s="370"/>
      <c r="AZ5" s="370"/>
      <c r="BA5" s="370"/>
      <c r="BB5" s="370"/>
      <c r="BC5" s="1392"/>
    </row>
    <row r="6" spans="2:56" ht="27" thickTop="1" x14ac:dyDescent="0.3">
      <c r="B6" s="1406" t="str">
        <f>'Coût marchandises vendues'!B6</f>
        <v>Nb de places</v>
      </c>
      <c r="C6" s="1436"/>
      <c r="E6" s="637" t="str">
        <f>'Mark &amp; Communication marketing'!E6</f>
        <v>Coût / place / jour</v>
      </c>
      <c r="F6" s="638">
        <f>+E23/$B$7/'Calendrier 2021'!D8</f>
        <v>0.99283154121863804</v>
      </c>
      <c r="G6" s="170"/>
      <c r="H6" s="637" t="str">
        <f>+E6</f>
        <v>Coût / place / jour</v>
      </c>
      <c r="I6" s="638">
        <f>+H23/$B$7/'Calendrier 2021'!E8</f>
        <v>1.0992063492063493</v>
      </c>
      <c r="J6" s="170"/>
      <c r="K6" s="637" t="str">
        <f>+H6</f>
        <v>Coût / place / jour</v>
      </c>
      <c r="L6" s="638">
        <f>+K23/$B$7/'Calendrier 2021'!F8</f>
        <v>0.99283154121863804</v>
      </c>
      <c r="M6" s="170"/>
      <c r="N6" s="637" t="str">
        <f>+K6</f>
        <v>Coût / place / jour</v>
      </c>
      <c r="O6" s="638">
        <f>+N23/$B$7/'Calendrier 2021'!G8</f>
        <v>1.0259259259259259</v>
      </c>
      <c r="P6" s="422"/>
      <c r="Q6" s="637" t="str">
        <f>+N6</f>
        <v>Coût / place / jour</v>
      </c>
      <c r="R6" s="638">
        <f>+Q23/$B$7/'Calendrier 2021'!H8</f>
        <v>0.99283154121863804</v>
      </c>
      <c r="S6" s="422"/>
      <c r="T6" s="637" t="str">
        <f>+Q6</f>
        <v>Coût / place / jour</v>
      </c>
      <c r="U6" s="638">
        <f>+T23/$B$7/'Calendrier 2021'!I8</f>
        <v>1.0259259259259259</v>
      </c>
      <c r="V6" s="170"/>
      <c r="W6" s="637" t="str">
        <f>+T6</f>
        <v>Coût / place / jour</v>
      </c>
      <c r="X6" s="638">
        <f>+W23/$B$7/'Calendrier 2021'!J8</f>
        <v>0.99283154121863804</v>
      </c>
      <c r="Y6" s="170"/>
      <c r="Z6" s="637" t="str">
        <f>+W6</f>
        <v>Coût / place / jour</v>
      </c>
      <c r="AA6" s="638">
        <f>+Z23/$B$7/'Calendrier 2021'!K8</f>
        <v>0.99283154121863804</v>
      </c>
      <c r="AB6" s="170"/>
      <c r="AC6" s="637" t="str">
        <f>+Z6</f>
        <v>Coût / place / jour</v>
      </c>
      <c r="AD6" s="638">
        <f>+AC23/$B$7/'Calendrier 2021'!L8</f>
        <v>1.0259259259259259</v>
      </c>
      <c r="AE6" s="170"/>
      <c r="AF6" s="637" t="str">
        <f>+AC6</f>
        <v>Coût / place / jour</v>
      </c>
      <c r="AG6" s="638">
        <f>+AF23/$B$7/'Calendrier 2021'!M8</f>
        <v>0.99283154121863804</v>
      </c>
      <c r="AH6" s="170"/>
      <c r="AI6" s="637" t="str">
        <f>+AF6</f>
        <v>Coût / place / jour</v>
      </c>
      <c r="AJ6" s="638">
        <f>+AI23/$B$7/'Calendrier 2021'!N8</f>
        <v>1.0259259259259259</v>
      </c>
      <c r="AK6" s="170"/>
      <c r="AL6" s="637" t="str">
        <f>+AI6</f>
        <v>Coût / place / jour</v>
      </c>
      <c r="AM6" s="638">
        <f>+AL23/$B$7/'Calendrier 2021'!O8</f>
        <v>0.99283154121863804</v>
      </c>
      <c r="AN6" s="170"/>
      <c r="AO6" s="170"/>
      <c r="AP6" s="639" t="str">
        <f>+AL6</f>
        <v>Coût / place / jour</v>
      </c>
      <c r="AQ6" s="640">
        <f>+AP23/$B$7/'% Occupation'!P9</f>
        <v>1.0118721461187217</v>
      </c>
      <c r="AS6" s="1389"/>
      <c r="AT6" s="629" t="str">
        <f>'Formule pour le calcul D'!BA105</f>
        <v xml:space="preserve">C </v>
      </c>
      <c r="AU6" s="372"/>
      <c r="AV6" s="371" t="str">
        <f>'Formule pour le calcul D'!BC105</f>
        <v>A</v>
      </c>
      <c r="AW6" s="372"/>
      <c r="AX6" s="372"/>
      <c r="AY6" s="371" t="str">
        <f>AY4</f>
        <v>Um/A</v>
      </c>
      <c r="AZ6" s="372"/>
      <c r="BA6" s="371" t="str">
        <f>BA4</f>
        <v>CmO</v>
      </c>
      <c r="BB6" s="372"/>
      <c r="BC6" s="1392"/>
    </row>
    <row r="7" spans="2:56" ht="21" x14ac:dyDescent="0.25">
      <c r="B7" s="1438">
        <f>'Coût marchandises vendues'!B7</f>
        <v>30</v>
      </c>
      <c r="C7" s="1437"/>
      <c r="E7" s="424">
        <f>+E23/$AP23</f>
        <v>8.3333333333333329E-2</v>
      </c>
      <c r="F7" s="641"/>
      <c r="H7" s="424">
        <f>+H23/$AP23</f>
        <v>8.3333333333333329E-2</v>
      </c>
      <c r="I7" s="641"/>
      <c r="K7" s="424">
        <f>+K23/$AP23</f>
        <v>8.3333333333333329E-2</v>
      </c>
      <c r="L7" s="425"/>
      <c r="N7" s="424">
        <f>+N23/$AP23</f>
        <v>8.3333333333333329E-2</v>
      </c>
      <c r="O7" s="425"/>
      <c r="P7" s="642"/>
      <c r="Q7" s="424">
        <f>+Q23/$AP23</f>
        <v>8.3333333333333329E-2</v>
      </c>
      <c r="R7" s="425"/>
      <c r="S7" s="642"/>
      <c r="T7" s="424">
        <f>+T23/$AP23</f>
        <v>8.3333333333333329E-2</v>
      </c>
      <c r="U7" s="425"/>
      <c r="W7" s="424">
        <f>+W23/$AP23</f>
        <v>8.3333333333333329E-2</v>
      </c>
      <c r="X7" s="425"/>
      <c r="Z7" s="424">
        <f>+Z23/$AP23</f>
        <v>8.3333333333333329E-2</v>
      </c>
      <c r="AA7" s="425"/>
      <c r="AC7" s="424">
        <f>+AC23/$AP23</f>
        <v>8.3333333333333329E-2</v>
      </c>
      <c r="AD7" s="425"/>
      <c r="AF7" s="424">
        <f>+AF23/$AP23</f>
        <v>8.3333333333333329E-2</v>
      </c>
      <c r="AG7" s="425"/>
      <c r="AI7" s="424">
        <f>+AI23/$AP23</f>
        <v>8.3333333333333329E-2</v>
      </c>
      <c r="AJ7" s="425"/>
      <c r="AL7" s="424">
        <f>+AL23/$AP23</f>
        <v>8.3333333333333329E-2</v>
      </c>
      <c r="AM7" s="425"/>
      <c r="AP7" s="643">
        <f>+AP23/$AP23</f>
        <v>1</v>
      </c>
      <c r="AQ7" s="644" t="s">
        <v>136</v>
      </c>
      <c r="AS7" s="1389"/>
      <c r="AT7" s="630">
        <f>AP23</f>
        <v>11080.000000000002</v>
      </c>
      <c r="AU7" s="368" t="s">
        <v>44</v>
      </c>
      <c r="AV7" s="631">
        <f>'Formule pour le calcul D'!G114</f>
        <v>52000</v>
      </c>
      <c r="AW7" s="368" t="s">
        <v>45</v>
      </c>
      <c r="AX7" s="368" t="s">
        <v>46</v>
      </c>
      <c r="AY7" s="632">
        <f>'Formule pour le calcul D'!J106</f>
        <v>3.1499999999999995</v>
      </c>
      <c r="AZ7" s="368" t="s">
        <v>45</v>
      </c>
      <c r="BA7" s="633">
        <f>AT7/AV7/AY7</f>
        <v>6.7643467643467667E-2</v>
      </c>
      <c r="BB7" s="368" t="s">
        <v>49</v>
      </c>
      <c r="BC7" s="1392"/>
    </row>
    <row r="8" spans="2:56" ht="17" thickBot="1" x14ac:dyDescent="0.25">
      <c r="B8" s="1410" t="s">
        <v>333</v>
      </c>
      <c r="C8" s="1437"/>
      <c r="E8" s="646" t="str">
        <f>'État des Résultats'!E8</f>
        <v>Pér.01</v>
      </c>
      <c r="F8" s="645" t="str">
        <f>'État des Résultats'!F8</f>
        <v>(%)</v>
      </c>
      <c r="G8" s="382"/>
      <c r="H8" s="646" t="str">
        <f>'État des Résultats'!H8</f>
        <v>Pér.02</v>
      </c>
      <c r="I8" s="645" t="str">
        <f>F8</f>
        <v>(%)</v>
      </c>
      <c r="J8" s="382"/>
      <c r="K8" s="646" t="str">
        <f>'État des Résultats'!K8</f>
        <v>Pér.03</v>
      </c>
      <c r="L8" s="645" t="str">
        <f>I8</f>
        <v>(%)</v>
      </c>
      <c r="M8" s="382"/>
      <c r="N8" s="646" t="str">
        <f>'État des Résultats'!N8</f>
        <v>Pér.04</v>
      </c>
      <c r="O8" s="645" t="str">
        <f>L8</f>
        <v>(%)</v>
      </c>
      <c r="P8" s="426"/>
      <c r="Q8" s="646" t="str">
        <f>'État des Résultats'!Q8</f>
        <v>Pér.05</v>
      </c>
      <c r="R8" s="645" t="str">
        <f>O8</f>
        <v>(%)</v>
      </c>
      <c r="S8" s="426"/>
      <c r="T8" s="646" t="str">
        <f>'État des Résultats'!T8</f>
        <v>Pér.06</v>
      </c>
      <c r="U8" s="645" t="str">
        <f>R8</f>
        <v>(%)</v>
      </c>
      <c r="V8" s="382"/>
      <c r="W8" s="646" t="str">
        <f>'État des Résultats'!W8</f>
        <v>Pér.07</v>
      </c>
      <c r="X8" s="645" t="str">
        <f>U8</f>
        <v>(%)</v>
      </c>
      <c r="Y8" s="382"/>
      <c r="Z8" s="646" t="str">
        <f>'État des Résultats'!Z8</f>
        <v>Pér.08</v>
      </c>
      <c r="AA8" s="645" t="str">
        <f>X8</f>
        <v>(%)</v>
      </c>
      <c r="AB8" s="382"/>
      <c r="AC8" s="646" t="str">
        <f>'État des Résultats'!AC8</f>
        <v>Pér.09</v>
      </c>
      <c r="AD8" s="645" t="str">
        <f>AA8</f>
        <v>(%)</v>
      </c>
      <c r="AE8" s="382"/>
      <c r="AF8" s="646" t="str">
        <f>'État des Résultats'!AF8</f>
        <v>Pér.10</v>
      </c>
      <c r="AG8" s="645" t="str">
        <f>AD8</f>
        <v>(%)</v>
      </c>
      <c r="AH8" s="382"/>
      <c r="AI8" s="646" t="str">
        <f>'État des Résultats'!AI8</f>
        <v>Pér.11</v>
      </c>
      <c r="AJ8" s="645" t="str">
        <f>AG8</f>
        <v>(%)</v>
      </c>
      <c r="AK8" s="382"/>
      <c r="AL8" s="646" t="str">
        <f>'État des Résultats'!AL8</f>
        <v>Pér.12</v>
      </c>
      <c r="AM8" s="645" t="str">
        <f>AJ8</f>
        <v>(%)</v>
      </c>
      <c r="AN8" s="647" t="s">
        <v>2</v>
      </c>
      <c r="AO8" s="382"/>
      <c r="AP8" s="648" t="str">
        <f>'État des Résultats'!AP8</f>
        <v>Total</v>
      </c>
      <c r="AQ8" s="645" t="str">
        <f>AM8</f>
        <v>(%)</v>
      </c>
      <c r="AS8" s="1390"/>
      <c r="AT8" s="373"/>
      <c r="AU8" s="373"/>
      <c r="AV8" s="373"/>
      <c r="AW8" s="373"/>
      <c r="AX8" s="373"/>
      <c r="AY8" s="373"/>
      <c r="AZ8" s="373"/>
      <c r="BA8" s="373"/>
      <c r="BB8" s="373"/>
      <c r="BC8" s="1393"/>
    </row>
    <row r="9" spans="2:56" ht="15" thickTop="1" thickBot="1" x14ac:dyDescent="0.2">
      <c r="B9" s="1446">
        <f>AP23/$B$7</f>
        <v>369.33333333333337</v>
      </c>
      <c r="C9" s="1447"/>
      <c r="E9" s="664" t="str">
        <f>'État des Résultats'!E9</f>
        <v>Janvier 2021</v>
      </c>
      <c r="F9" s="665"/>
      <c r="G9" s="292"/>
      <c r="H9" s="666" t="str">
        <f>'État des Résultats'!H9</f>
        <v>Février 2021</v>
      </c>
      <c r="I9" s="667"/>
      <c r="J9" s="292"/>
      <c r="K9" s="666" t="str">
        <f>'État des Résultats'!K9</f>
        <v>Mars 2021</v>
      </c>
      <c r="L9" s="667"/>
      <c r="M9" s="292"/>
      <c r="N9" s="664" t="str">
        <f>'État des Résultats'!N9</f>
        <v>Avril 2021</v>
      </c>
      <c r="O9" s="665"/>
      <c r="P9" s="668"/>
      <c r="Q9" s="664" t="str">
        <f>'État des Résultats'!Q9</f>
        <v>Mai 2021</v>
      </c>
      <c r="R9" s="665"/>
      <c r="S9" s="668"/>
      <c r="T9" s="666" t="str">
        <f>'État des Résultats'!T9</f>
        <v>Juin 2021</v>
      </c>
      <c r="U9" s="667"/>
      <c r="V9" s="292"/>
      <c r="W9" s="666" t="str">
        <f>'État des Résultats'!W9</f>
        <v>Juillet 2021</v>
      </c>
      <c r="X9" s="667"/>
      <c r="Y9" s="292"/>
      <c r="Z9" s="666" t="str">
        <f>'État des Résultats'!Z9</f>
        <v>Août 2021</v>
      </c>
      <c r="AA9" s="667"/>
      <c r="AB9" s="292"/>
      <c r="AC9" s="666" t="str">
        <f>'État des Résultats'!AC9</f>
        <v>Septembre 2021</v>
      </c>
      <c r="AD9" s="667"/>
      <c r="AE9" s="292"/>
      <c r="AF9" s="666" t="str">
        <f>'État des Résultats'!AF9</f>
        <v>Octobre 2021</v>
      </c>
      <c r="AG9" s="667"/>
      <c r="AH9" s="292"/>
      <c r="AI9" s="666" t="str">
        <f>'État des Résultats'!AI9</f>
        <v>Novembre 2021</v>
      </c>
      <c r="AJ9" s="667"/>
      <c r="AK9" s="292"/>
      <c r="AL9" s="666" t="str">
        <f>'État des Résultats'!AL9</f>
        <v>Décembre 2021</v>
      </c>
      <c r="AM9" s="667"/>
      <c r="AN9" s="292"/>
      <c r="AO9" s="292"/>
      <c r="AP9" s="669" t="str">
        <f>'État des Résultats'!AP9</f>
        <v>Année</v>
      </c>
      <c r="AQ9" s="670"/>
      <c r="AR9" s="702"/>
      <c r="AS9" s="702"/>
      <c r="AT9" s="649"/>
      <c r="AU9" s="649"/>
      <c r="AV9" s="649"/>
      <c r="AW9" s="649"/>
      <c r="AX9" s="649"/>
      <c r="AY9" s="649"/>
      <c r="AZ9" s="649"/>
    </row>
    <row r="10" spans="2:56" ht="15" thickTop="1" thickBot="1" x14ac:dyDescent="0.2">
      <c r="D10" s="251"/>
      <c r="G10" s="388"/>
      <c r="J10" s="388"/>
      <c r="M10" s="388"/>
      <c r="P10" s="433"/>
      <c r="S10" s="433"/>
      <c r="V10" s="388"/>
      <c r="Y10" s="187"/>
      <c r="AB10" s="388"/>
      <c r="AE10" s="388"/>
      <c r="AH10" s="388"/>
      <c r="AK10" s="388"/>
      <c r="AN10" s="388"/>
      <c r="AO10" s="388"/>
      <c r="AR10" s="170"/>
      <c r="AS10" s="170"/>
      <c r="AT10" s="170"/>
    </row>
    <row r="11" spans="2:56" ht="17" thickTop="1" x14ac:dyDescent="0.2">
      <c r="B11" s="650"/>
      <c r="C11" s="712" t="s">
        <v>322</v>
      </c>
      <c r="E11" s="650"/>
      <c r="F11" s="651"/>
      <c r="H11" s="650"/>
      <c r="I11" s="651"/>
      <c r="K11" s="650"/>
      <c r="L11" s="651"/>
      <c r="N11" s="650"/>
      <c r="O11" s="651"/>
      <c r="Q11" s="650"/>
      <c r="R11" s="651"/>
      <c r="T11" s="650"/>
      <c r="U11" s="651"/>
      <c r="W11" s="650"/>
      <c r="X11" s="651"/>
      <c r="Z11" s="650"/>
      <c r="AA11" s="651"/>
      <c r="AC11" s="650"/>
      <c r="AD11" s="651"/>
      <c r="AF11" s="650"/>
      <c r="AG11" s="651"/>
      <c r="AI11" s="650"/>
      <c r="AJ11" s="651"/>
      <c r="AL11" s="650"/>
      <c r="AM11" s="651"/>
      <c r="AP11" s="613"/>
      <c r="AQ11" s="615"/>
      <c r="AR11" s="187"/>
      <c r="AS11" s="187"/>
      <c r="AT11" s="187"/>
      <c r="AU11" s="187"/>
      <c r="AV11" s="187"/>
      <c r="AW11" s="187"/>
      <c r="AX11" s="187"/>
      <c r="AY11" s="187"/>
      <c r="AZ11" s="187"/>
      <c r="BA11" s="187"/>
      <c r="BB11" s="187"/>
      <c r="BC11" s="187"/>
      <c r="BD11" s="187"/>
    </row>
    <row r="12" spans="2:56" x14ac:dyDescent="0.15">
      <c r="B12" s="190"/>
      <c r="C12" s="652"/>
      <c r="E12" s="190"/>
      <c r="F12" s="391"/>
      <c r="H12" s="190"/>
      <c r="I12" s="391"/>
      <c r="K12" s="190"/>
      <c r="L12" s="391"/>
      <c r="N12" s="190"/>
      <c r="O12" s="391"/>
      <c r="Q12" s="190"/>
      <c r="R12" s="391"/>
      <c r="T12" s="190"/>
      <c r="U12" s="391"/>
      <c r="W12" s="190"/>
      <c r="X12" s="391"/>
      <c r="Z12" s="190"/>
      <c r="AA12" s="391"/>
      <c r="AC12" s="190"/>
      <c r="AD12" s="391"/>
      <c r="AF12" s="190"/>
      <c r="AG12" s="391"/>
      <c r="AI12" s="190"/>
      <c r="AJ12" s="391"/>
      <c r="AL12" s="190"/>
      <c r="AM12" s="191"/>
      <c r="AP12" s="193"/>
      <c r="AQ12" s="494"/>
      <c r="AR12" s="187"/>
      <c r="AS12" s="187"/>
      <c r="AT12" s="187"/>
      <c r="AU12" s="187"/>
      <c r="AV12" s="187"/>
      <c r="AW12" s="187"/>
      <c r="AX12" s="187"/>
      <c r="AY12" s="187"/>
      <c r="AZ12" s="187"/>
      <c r="BA12" s="187"/>
      <c r="BB12" s="187"/>
      <c r="BC12" s="187"/>
      <c r="BD12" s="187"/>
    </row>
    <row r="13" spans="2:56" x14ac:dyDescent="0.15">
      <c r="B13" s="653">
        <v>7705</v>
      </c>
      <c r="C13" s="391" t="s">
        <v>323</v>
      </c>
      <c r="E13" s="793">
        <f>(11080/12)</f>
        <v>923.33333333333337</v>
      </c>
      <c r="F13" s="654">
        <f>E13/'État des Résultats'!E$14</f>
        <v>1.2650712458896601E-2</v>
      </c>
      <c r="H13" s="793">
        <f>(11080/12)</f>
        <v>923.33333333333337</v>
      </c>
      <c r="I13" s="654">
        <f>H13/'État des Résultats'!H$14</f>
        <v>1.3051723934835616E-2</v>
      </c>
      <c r="K13" s="793">
        <f>(11080/12)</f>
        <v>923.33333333333337</v>
      </c>
      <c r="L13" s="654">
        <f>K13/'État des Résultats'!K$14</f>
        <v>1.1712597384750369E-2</v>
      </c>
      <c r="N13" s="793">
        <f>(11080/12)</f>
        <v>923.33333333333337</v>
      </c>
      <c r="O13" s="654">
        <f>N13/'État des Résultats'!N$14</f>
        <v>1.1159722715538034E-2</v>
      </c>
      <c r="Q13" s="793">
        <f>(11080/12)</f>
        <v>923.33333333333337</v>
      </c>
      <c r="R13" s="654">
        <f>Q13/'État des Résultats'!Q$14</f>
        <v>1.0365090673962893E-2</v>
      </c>
      <c r="T13" s="793">
        <f>(11080/12)</f>
        <v>923.33333333333337</v>
      </c>
      <c r="U13" s="654">
        <f>T13/'État des Résultats'!T$14</f>
        <v>1.0085926633221928E-2</v>
      </c>
      <c r="W13" s="793">
        <f>(11080/12)</f>
        <v>923.33333333333337</v>
      </c>
      <c r="X13" s="654">
        <f>W13/'État des Résultats'!W$14</f>
        <v>9.3899812256308581E-3</v>
      </c>
      <c r="Z13" s="793">
        <f>(11080/12)</f>
        <v>923.33333333333337</v>
      </c>
      <c r="AA13" s="654">
        <f>Z13/'État des Résultats'!Z$14</f>
        <v>9.2676551674805811E-3</v>
      </c>
      <c r="AC13" s="793">
        <f>(11080/12)</f>
        <v>923.33333333333337</v>
      </c>
      <c r="AD13" s="654">
        <f>AC13/'État des Résultats'!AC$14</f>
        <v>1.0135318948425167E-2</v>
      </c>
      <c r="AF13" s="793">
        <f>(11080/12)</f>
        <v>923.33333333333337</v>
      </c>
      <c r="AG13" s="654">
        <f>AF13/'État des Résultats'!AF$14</f>
        <v>9.7853616253690545E-3</v>
      </c>
      <c r="AI13" s="793">
        <f>(11080/12)</f>
        <v>923.33333333333337</v>
      </c>
      <c r="AJ13" s="654">
        <f>AI13/'État des Résultats'!AI$14</f>
        <v>1.0527469750579348E-2</v>
      </c>
      <c r="AL13" s="793">
        <f>(11080/12)</f>
        <v>923.33333333333337</v>
      </c>
      <c r="AM13" s="654">
        <f>AL13/'État des Résultats'!AL$14</f>
        <v>9.4728806985746802E-3</v>
      </c>
      <c r="AP13" s="796">
        <f>SUM(+$AL13+$AI13+$AF13+$AC13+$Z13+$W13+$T13+$Q13+$N13+$K13+$H13+$E13)</f>
        <v>11080.000000000002</v>
      </c>
      <c r="AQ13" s="656">
        <f>AP13/'État des Résultats'!$AP$14</f>
        <v>1.0507070270883741E-2</v>
      </c>
    </row>
    <row r="14" spans="2:56" x14ac:dyDescent="0.15">
      <c r="B14" s="653">
        <v>7710</v>
      </c>
      <c r="C14" s="391" t="s">
        <v>324</v>
      </c>
      <c r="E14" s="793">
        <v>0</v>
      </c>
      <c r="F14" s="654">
        <f>E14/'État des Résultats'!E$14</f>
        <v>0</v>
      </c>
      <c r="H14" s="793">
        <v>0</v>
      </c>
      <c r="I14" s="654">
        <f>H14/'État des Résultats'!H$14</f>
        <v>0</v>
      </c>
      <c r="K14" s="793">
        <v>0</v>
      </c>
      <c r="L14" s="654">
        <f>K14/'État des Résultats'!K$14</f>
        <v>0</v>
      </c>
      <c r="N14" s="793">
        <v>0</v>
      </c>
      <c r="O14" s="654">
        <f>N14/'État des Résultats'!N$14</f>
        <v>0</v>
      </c>
      <c r="Q14" s="793">
        <v>0</v>
      </c>
      <c r="R14" s="654">
        <f>Q14/'État des Résultats'!Q$14</f>
        <v>0</v>
      </c>
      <c r="T14" s="793">
        <v>0</v>
      </c>
      <c r="U14" s="654">
        <f>T14/'État des Résultats'!T$14</f>
        <v>0</v>
      </c>
      <c r="W14" s="793">
        <v>0</v>
      </c>
      <c r="X14" s="654">
        <f>W14/'État des Résultats'!W$14</f>
        <v>0</v>
      </c>
      <c r="Z14" s="793">
        <v>0</v>
      </c>
      <c r="AA14" s="654">
        <f>Z14/'État des Résultats'!Z$14</f>
        <v>0</v>
      </c>
      <c r="AC14" s="793">
        <v>0</v>
      </c>
      <c r="AD14" s="654">
        <f>AC14/'État des Résultats'!AC$14</f>
        <v>0</v>
      </c>
      <c r="AF14" s="793">
        <v>0</v>
      </c>
      <c r="AG14" s="654">
        <f>AF14/'État des Résultats'!AF$14</f>
        <v>0</v>
      </c>
      <c r="AI14" s="793">
        <v>0</v>
      </c>
      <c r="AJ14" s="654">
        <f>AI14/'État des Résultats'!AI$14</f>
        <v>0</v>
      </c>
      <c r="AL14" s="793">
        <v>0</v>
      </c>
      <c r="AM14" s="654">
        <f>AL14/'État des Résultats'!AL$14</f>
        <v>0</v>
      </c>
      <c r="AP14" s="796">
        <f>SUM(+$AL14+$AI14+$AF14+$AC14+$Z14+$W14+$T14+$Q14+$N14+$K14+$H14+$E14)</f>
        <v>0</v>
      </c>
      <c r="AQ14" s="656">
        <f>AP14/'État des Résultats'!$AP$14</f>
        <v>0</v>
      </c>
    </row>
    <row r="15" spans="2:56" x14ac:dyDescent="0.15">
      <c r="B15" s="653">
        <v>7715</v>
      </c>
      <c r="C15" s="391" t="s">
        <v>325</v>
      </c>
      <c r="E15" s="793">
        <v>0</v>
      </c>
      <c r="F15" s="654">
        <f>E15/'État des Résultats'!E$14</f>
        <v>0</v>
      </c>
      <c r="G15" s="658" t="s">
        <v>2</v>
      </c>
      <c r="H15" s="793">
        <v>0</v>
      </c>
      <c r="I15" s="654">
        <f>H15/'État des Résultats'!H$14</f>
        <v>0</v>
      </c>
      <c r="K15" s="793">
        <v>0</v>
      </c>
      <c r="L15" s="654">
        <f>K15/'État des Résultats'!K$14</f>
        <v>0</v>
      </c>
      <c r="N15" s="793">
        <v>0</v>
      </c>
      <c r="O15" s="654">
        <f>N15/'État des Résultats'!N$14</f>
        <v>0</v>
      </c>
      <c r="Q15" s="793">
        <v>0</v>
      </c>
      <c r="R15" s="654">
        <f>Q15/'État des Résultats'!Q$14</f>
        <v>0</v>
      </c>
      <c r="T15" s="793">
        <v>0</v>
      </c>
      <c r="U15" s="654">
        <f>T15/'État des Résultats'!T$14</f>
        <v>0</v>
      </c>
      <c r="W15" s="793">
        <v>0</v>
      </c>
      <c r="X15" s="654">
        <f>W15/'État des Résultats'!W$14</f>
        <v>0</v>
      </c>
      <c r="Z15" s="793">
        <v>0</v>
      </c>
      <c r="AA15" s="654">
        <f>Z15/'État des Résultats'!Z$14</f>
        <v>0</v>
      </c>
      <c r="AC15" s="793">
        <v>0</v>
      </c>
      <c r="AD15" s="654">
        <f>AC15/'État des Résultats'!AC$14</f>
        <v>0</v>
      </c>
      <c r="AF15" s="793">
        <v>0</v>
      </c>
      <c r="AG15" s="654">
        <f>AF15/'État des Résultats'!AF$14</f>
        <v>0</v>
      </c>
      <c r="AI15" s="793">
        <v>0</v>
      </c>
      <c r="AJ15" s="654">
        <f>AI15/'État des Résultats'!AI$14</f>
        <v>0</v>
      </c>
      <c r="AL15" s="793">
        <v>0</v>
      </c>
      <c r="AM15" s="654">
        <f>AL15/'État des Résultats'!AL$14</f>
        <v>0</v>
      </c>
      <c r="AP15" s="796">
        <f t="shared" ref="AP15:AP21" si="0">SUM(+$AL15+$AI15+$AF15+$AC15+$Z15+$W15+$T15+$Q15+$N15+$K15+$H15+$E15)</f>
        <v>0</v>
      </c>
      <c r="AQ15" s="656">
        <f>AP15/'État des Résultats'!$AP$14</f>
        <v>0</v>
      </c>
    </row>
    <row r="16" spans="2:56" x14ac:dyDescent="0.15">
      <c r="B16" s="653">
        <v>7720</v>
      </c>
      <c r="C16" s="391" t="s">
        <v>326</v>
      </c>
      <c r="E16" s="793">
        <v>0</v>
      </c>
      <c r="F16" s="654">
        <f>E16/'État des Résultats'!E$14</f>
        <v>0</v>
      </c>
      <c r="H16" s="793">
        <v>0</v>
      </c>
      <c r="I16" s="654">
        <f>H16/'État des Résultats'!H$14</f>
        <v>0</v>
      </c>
      <c r="K16" s="793">
        <v>0</v>
      </c>
      <c r="L16" s="654">
        <f>K16/'État des Résultats'!K$14</f>
        <v>0</v>
      </c>
      <c r="N16" s="793">
        <v>0</v>
      </c>
      <c r="O16" s="654">
        <f>N16/'État des Résultats'!N$14</f>
        <v>0</v>
      </c>
      <c r="Q16" s="793">
        <v>0</v>
      </c>
      <c r="R16" s="654">
        <f>Q16/'État des Résultats'!Q$14</f>
        <v>0</v>
      </c>
      <c r="T16" s="793">
        <v>0</v>
      </c>
      <c r="U16" s="654">
        <f>T16/'État des Résultats'!T$14</f>
        <v>0</v>
      </c>
      <c r="W16" s="793">
        <v>0</v>
      </c>
      <c r="X16" s="654">
        <f>W16/'État des Résultats'!W$14</f>
        <v>0</v>
      </c>
      <c r="Z16" s="793">
        <v>0</v>
      </c>
      <c r="AA16" s="654">
        <f>Z16/'État des Résultats'!Z$14</f>
        <v>0</v>
      </c>
      <c r="AC16" s="793">
        <v>0</v>
      </c>
      <c r="AD16" s="654">
        <f>AC16/'État des Résultats'!AC$14</f>
        <v>0</v>
      </c>
      <c r="AF16" s="793">
        <v>0</v>
      </c>
      <c r="AG16" s="654">
        <f>AF16/'État des Résultats'!AF$14</f>
        <v>0</v>
      </c>
      <c r="AI16" s="793">
        <v>0</v>
      </c>
      <c r="AJ16" s="654">
        <f>AI16/'État des Résultats'!AI$14</f>
        <v>0</v>
      </c>
      <c r="AL16" s="793">
        <v>0</v>
      </c>
      <c r="AM16" s="654">
        <f>AL16/'État des Résultats'!AL$14</f>
        <v>0</v>
      </c>
      <c r="AP16" s="796">
        <f t="shared" si="0"/>
        <v>0</v>
      </c>
      <c r="AQ16" s="656">
        <f>AP16/'État des Résultats'!$AP$14</f>
        <v>0</v>
      </c>
    </row>
    <row r="17" spans="2:69" x14ac:dyDescent="0.15">
      <c r="B17" s="653">
        <v>7725</v>
      </c>
      <c r="C17" s="391" t="s">
        <v>327</v>
      </c>
      <c r="E17" s="793">
        <v>0</v>
      </c>
      <c r="F17" s="654">
        <f>E17/'État des Résultats'!E$14</f>
        <v>0</v>
      </c>
      <c r="H17" s="793">
        <v>0</v>
      </c>
      <c r="I17" s="654">
        <f>H17/'État des Résultats'!H$14</f>
        <v>0</v>
      </c>
      <c r="K17" s="793">
        <v>0</v>
      </c>
      <c r="L17" s="654">
        <f>K17/'État des Résultats'!K$14</f>
        <v>0</v>
      </c>
      <c r="N17" s="793">
        <v>0</v>
      </c>
      <c r="O17" s="654">
        <f>N17/'État des Résultats'!N$14</f>
        <v>0</v>
      </c>
      <c r="Q17" s="793">
        <v>0</v>
      </c>
      <c r="R17" s="654">
        <f>Q17/'État des Résultats'!Q$14</f>
        <v>0</v>
      </c>
      <c r="T17" s="793">
        <v>0</v>
      </c>
      <c r="U17" s="654">
        <f>T17/'État des Résultats'!T$14</f>
        <v>0</v>
      </c>
      <c r="W17" s="793">
        <v>0</v>
      </c>
      <c r="X17" s="654">
        <f>W17/'État des Résultats'!W$14</f>
        <v>0</v>
      </c>
      <c r="Z17" s="793">
        <v>0</v>
      </c>
      <c r="AA17" s="654">
        <f>Z17/'État des Résultats'!Z$14</f>
        <v>0</v>
      </c>
      <c r="AC17" s="793">
        <v>0</v>
      </c>
      <c r="AD17" s="654">
        <f>AC17/'État des Résultats'!AC$14</f>
        <v>0</v>
      </c>
      <c r="AF17" s="793">
        <v>0</v>
      </c>
      <c r="AG17" s="654">
        <f>AF17/'État des Résultats'!AF$14</f>
        <v>0</v>
      </c>
      <c r="AI17" s="793">
        <v>0</v>
      </c>
      <c r="AJ17" s="654">
        <f>AI17/'État des Résultats'!AI$14</f>
        <v>0</v>
      </c>
      <c r="AL17" s="793">
        <v>0</v>
      </c>
      <c r="AM17" s="654">
        <f>AL17/'État des Résultats'!AL$14</f>
        <v>0</v>
      </c>
      <c r="AP17" s="796">
        <f t="shared" si="0"/>
        <v>0</v>
      </c>
      <c r="AQ17" s="656">
        <f>AP17/'État des Résultats'!$AP$14</f>
        <v>0</v>
      </c>
    </row>
    <row r="18" spans="2:69" x14ac:dyDescent="0.15">
      <c r="B18" s="653">
        <v>7730</v>
      </c>
      <c r="C18" s="391" t="s">
        <v>328</v>
      </c>
      <c r="E18" s="793">
        <v>0</v>
      </c>
      <c r="F18" s="654">
        <f>E18/'État des Résultats'!E$14</f>
        <v>0</v>
      </c>
      <c r="H18" s="793">
        <v>0</v>
      </c>
      <c r="I18" s="654">
        <f>H18/'État des Résultats'!H$14</f>
        <v>0</v>
      </c>
      <c r="K18" s="793">
        <v>0</v>
      </c>
      <c r="L18" s="654">
        <f>K18/'État des Résultats'!K$14</f>
        <v>0</v>
      </c>
      <c r="N18" s="793">
        <v>0</v>
      </c>
      <c r="O18" s="654">
        <f>N18/'État des Résultats'!N$14</f>
        <v>0</v>
      </c>
      <c r="Q18" s="793">
        <v>0</v>
      </c>
      <c r="R18" s="654">
        <f>Q18/'État des Résultats'!Q$14</f>
        <v>0</v>
      </c>
      <c r="T18" s="793">
        <v>0</v>
      </c>
      <c r="U18" s="654">
        <f>T18/'État des Résultats'!T$14</f>
        <v>0</v>
      </c>
      <c r="W18" s="793">
        <v>0</v>
      </c>
      <c r="X18" s="654">
        <f>W18/'État des Résultats'!W$14</f>
        <v>0</v>
      </c>
      <c r="Z18" s="793">
        <v>0</v>
      </c>
      <c r="AA18" s="654">
        <f>Z18/'État des Résultats'!Z$14</f>
        <v>0</v>
      </c>
      <c r="AC18" s="793">
        <v>0</v>
      </c>
      <c r="AD18" s="654">
        <f>AC18/'État des Résultats'!AC$14</f>
        <v>0</v>
      </c>
      <c r="AF18" s="793">
        <v>0</v>
      </c>
      <c r="AG18" s="654">
        <f>AF18/'État des Résultats'!AF$14</f>
        <v>0</v>
      </c>
      <c r="AI18" s="793">
        <v>0</v>
      </c>
      <c r="AJ18" s="654">
        <f>AI18/'État des Résultats'!AI$14</f>
        <v>0</v>
      </c>
      <c r="AL18" s="793">
        <v>0</v>
      </c>
      <c r="AM18" s="654">
        <f>AL18/'État des Résultats'!AL$14</f>
        <v>0</v>
      </c>
      <c r="AP18" s="796">
        <f t="shared" si="0"/>
        <v>0</v>
      </c>
      <c r="AQ18" s="656">
        <f>AP18/'État des Résultats'!$AP$14</f>
        <v>0</v>
      </c>
      <c r="AS18" s="209"/>
    </row>
    <row r="19" spans="2:69" x14ac:dyDescent="0.15">
      <c r="B19" s="653">
        <v>7790</v>
      </c>
      <c r="C19" s="391" t="s">
        <v>329</v>
      </c>
      <c r="E19" s="793">
        <v>0</v>
      </c>
      <c r="F19" s="654">
        <f>E19/'État des Résultats'!E$14</f>
        <v>0</v>
      </c>
      <c r="H19" s="793">
        <v>0</v>
      </c>
      <c r="I19" s="654">
        <f>H19/'État des Résultats'!H$14</f>
        <v>0</v>
      </c>
      <c r="K19" s="793">
        <v>0</v>
      </c>
      <c r="L19" s="654">
        <f>K19/'État des Résultats'!K$14</f>
        <v>0</v>
      </c>
      <c r="N19" s="793">
        <v>0</v>
      </c>
      <c r="O19" s="654">
        <f>N19/'État des Résultats'!N$14</f>
        <v>0</v>
      </c>
      <c r="Q19" s="793">
        <v>0</v>
      </c>
      <c r="R19" s="654">
        <f>Q19/'État des Résultats'!Q$14</f>
        <v>0</v>
      </c>
      <c r="T19" s="793">
        <v>0</v>
      </c>
      <c r="U19" s="654">
        <f>T19/'État des Résultats'!T$14</f>
        <v>0</v>
      </c>
      <c r="W19" s="793">
        <v>0</v>
      </c>
      <c r="X19" s="654">
        <f>W19/'État des Résultats'!W$14</f>
        <v>0</v>
      </c>
      <c r="Z19" s="793">
        <v>0</v>
      </c>
      <c r="AA19" s="654">
        <f>Z19/'État des Résultats'!Z$14</f>
        <v>0</v>
      </c>
      <c r="AC19" s="793">
        <v>0</v>
      </c>
      <c r="AD19" s="654">
        <f>AC19/'État des Résultats'!AC$14</f>
        <v>0</v>
      </c>
      <c r="AF19" s="793">
        <v>0</v>
      </c>
      <c r="AG19" s="654">
        <f>AF19/'État des Résultats'!AF$14</f>
        <v>0</v>
      </c>
      <c r="AI19" s="793">
        <v>0</v>
      </c>
      <c r="AJ19" s="654">
        <f>AI19/'État des Résultats'!AI$14</f>
        <v>0</v>
      </c>
      <c r="AL19" s="793">
        <v>0</v>
      </c>
      <c r="AM19" s="654">
        <f>AL19/'État des Résultats'!AL$14</f>
        <v>0</v>
      </c>
      <c r="AP19" s="796">
        <f t="shared" si="0"/>
        <v>0</v>
      </c>
      <c r="AQ19" s="656">
        <f>AP19/'État des Résultats'!$AP$14</f>
        <v>0</v>
      </c>
    </row>
    <row r="20" spans="2:69" x14ac:dyDescent="0.15">
      <c r="B20" s="653">
        <v>7795</v>
      </c>
      <c r="C20" s="391" t="s">
        <v>330</v>
      </c>
      <c r="E20" s="793">
        <v>0</v>
      </c>
      <c r="F20" s="654">
        <f>E20/'État des Résultats'!E$14</f>
        <v>0</v>
      </c>
      <c r="H20" s="793">
        <v>0</v>
      </c>
      <c r="I20" s="654">
        <f>H20/'État des Résultats'!H$14</f>
        <v>0</v>
      </c>
      <c r="K20" s="793">
        <v>0</v>
      </c>
      <c r="L20" s="654">
        <f>K20/'État des Résultats'!K$14</f>
        <v>0</v>
      </c>
      <c r="N20" s="793">
        <v>0</v>
      </c>
      <c r="O20" s="654">
        <f>N20/'État des Résultats'!N$14</f>
        <v>0</v>
      </c>
      <c r="Q20" s="793">
        <v>0</v>
      </c>
      <c r="R20" s="654">
        <f>Q20/'État des Résultats'!Q$14</f>
        <v>0</v>
      </c>
      <c r="T20" s="793">
        <v>0</v>
      </c>
      <c r="U20" s="654">
        <f>T20/'État des Résultats'!T$14</f>
        <v>0</v>
      </c>
      <c r="W20" s="793">
        <v>0</v>
      </c>
      <c r="X20" s="654">
        <f>W20/'État des Résultats'!W$14</f>
        <v>0</v>
      </c>
      <c r="Z20" s="793">
        <v>0</v>
      </c>
      <c r="AA20" s="654">
        <f>Z20/'État des Résultats'!Z$14</f>
        <v>0</v>
      </c>
      <c r="AC20" s="793">
        <v>0</v>
      </c>
      <c r="AD20" s="654">
        <f>AC20/'État des Résultats'!AC$14</f>
        <v>0</v>
      </c>
      <c r="AF20" s="793">
        <v>0</v>
      </c>
      <c r="AG20" s="654">
        <f>AF20/'État des Résultats'!AF$14</f>
        <v>0</v>
      </c>
      <c r="AI20" s="793">
        <v>0</v>
      </c>
      <c r="AJ20" s="654">
        <f>AI20/'État des Résultats'!AI$14</f>
        <v>0</v>
      </c>
      <c r="AL20" s="793">
        <v>0</v>
      </c>
      <c r="AM20" s="654">
        <f>AL20/'État des Résultats'!AL$14</f>
        <v>0</v>
      </c>
      <c r="AP20" s="796">
        <f t="shared" si="0"/>
        <v>0</v>
      </c>
      <c r="AQ20" s="656">
        <f>AP20/'État des Résultats'!$AP$14</f>
        <v>0</v>
      </c>
    </row>
    <row r="21" spans="2:69" x14ac:dyDescent="0.15">
      <c r="B21" s="653">
        <v>7799</v>
      </c>
      <c r="C21" s="391" t="s">
        <v>331</v>
      </c>
      <c r="E21" s="793">
        <v>0</v>
      </c>
      <c r="F21" s="654">
        <f>E21/'État des Résultats'!E$14</f>
        <v>0</v>
      </c>
      <c r="H21" s="793">
        <v>0</v>
      </c>
      <c r="I21" s="654">
        <f>H21/'État des Résultats'!H$14</f>
        <v>0</v>
      </c>
      <c r="K21" s="793">
        <v>0</v>
      </c>
      <c r="L21" s="654">
        <f>K21/'État des Résultats'!K$14</f>
        <v>0</v>
      </c>
      <c r="N21" s="793">
        <v>0</v>
      </c>
      <c r="O21" s="654">
        <f>N21/'État des Résultats'!N$14</f>
        <v>0</v>
      </c>
      <c r="Q21" s="793">
        <v>0</v>
      </c>
      <c r="R21" s="654">
        <f>Q21/'État des Résultats'!Q$14</f>
        <v>0</v>
      </c>
      <c r="T21" s="793">
        <v>0</v>
      </c>
      <c r="U21" s="654">
        <f>T21/'État des Résultats'!T$14</f>
        <v>0</v>
      </c>
      <c r="W21" s="793">
        <v>0</v>
      </c>
      <c r="X21" s="654">
        <f>W21/'État des Résultats'!W$14</f>
        <v>0</v>
      </c>
      <c r="Z21" s="793">
        <v>0</v>
      </c>
      <c r="AA21" s="654">
        <f>Z21/'État des Résultats'!Z$14</f>
        <v>0</v>
      </c>
      <c r="AC21" s="793">
        <v>0</v>
      </c>
      <c r="AD21" s="654">
        <f>AC21/'État des Résultats'!AC$14</f>
        <v>0</v>
      </c>
      <c r="AF21" s="793">
        <v>0</v>
      </c>
      <c r="AG21" s="654">
        <f>AF21/'État des Résultats'!AF$14</f>
        <v>0</v>
      </c>
      <c r="AI21" s="793">
        <v>0</v>
      </c>
      <c r="AJ21" s="654">
        <f>AI21/'État des Résultats'!AI$14</f>
        <v>0</v>
      </c>
      <c r="AL21" s="793">
        <v>0</v>
      </c>
      <c r="AM21" s="654">
        <f>AL21/'État des Résultats'!AL$14</f>
        <v>0</v>
      </c>
      <c r="AP21" s="796">
        <f t="shared" si="0"/>
        <v>0</v>
      </c>
      <c r="AQ21" s="656">
        <f>AP21/'État des Résultats'!$AP$14</f>
        <v>0</v>
      </c>
    </row>
    <row r="22" spans="2:69" ht="14" thickBot="1" x14ac:dyDescent="0.2">
      <c r="B22" s="653"/>
      <c r="C22" s="391"/>
      <c r="E22" s="793"/>
      <c r="F22" s="687"/>
      <c r="H22" s="793"/>
      <c r="I22" s="687"/>
      <c r="K22" s="793"/>
      <c r="L22" s="687"/>
      <c r="N22" s="793"/>
      <c r="O22" s="687"/>
      <c r="Q22" s="793"/>
      <c r="R22" s="687"/>
      <c r="T22" s="793"/>
      <c r="U22" s="687"/>
      <c r="W22" s="793"/>
      <c r="X22" s="687"/>
      <c r="Z22" s="793"/>
      <c r="AA22" s="687"/>
      <c r="AC22" s="793"/>
      <c r="AD22" s="687"/>
      <c r="AF22" s="793"/>
      <c r="AG22" s="687"/>
      <c r="AI22" s="793"/>
      <c r="AJ22" s="687"/>
      <c r="AL22" s="793"/>
      <c r="AM22" s="687"/>
      <c r="AP22" s="796"/>
      <c r="AQ22" s="688"/>
    </row>
    <row r="23" spans="2:69" ht="15" thickTop="1" thickBot="1" x14ac:dyDescent="0.2">
      <c r="B23" s="469">
        <v>7700</v>
      </c>
      <c r="C23" s="470" t="s">
        <v>332</v>
      </c>
      <c r="D23" s="213"/>
      <c r="E23" s="795">
        <f>SUM(E13:E21)</f>
        <v>923.33333333333337</v>
      </c>
      <c r="F23" s="662">
        <f>SUM(F13:F21)</f>
        <v>1.2650712458896601E-2</v>
      </c>
      <c r="G23" s="213"/>
      <c r="H23" s="795">
        <f>SUM(H13:H21)</f>
        <v>923.33333333333337</v>
      </c>
      <c r="I23" s="662">
        <f>SUM(I13:I22)</f>
        <v>1.3051723934835616E-2</v>
      </c>
      <c r="J23" s="213"/>
      <c r="K23" s="795">
        <f>SUM(K13:K21)</f>
        <v>923.33333333333337</v>
      </c>
      <c r="L23" s="662">
        <f>SUM(L13:L22)</f>
        <v>1.1712597384750369E-2</v>
      </c>
      <c r="M23" s="213"/>
      <c r="N23" s="795">
        <f>SUM(N13:N21)</f>
        <v>923.33333333333337</v>
      </c>
      <c r="O23" s="662">
        <f>SUM(O13:O22)</f>
        <v>1.1159722715538034E-2</v>
      </c>
      <c r="P23" s="213"/>
      <c r="Q23" s="795">
        <f>SUM(Q13:Q21)</f>
        <v>923.33333333333337</v>
      </c>
      <c r="R23" s="662">
        <f>SUM(R13:R22)</f>
        <v>1.0365090673962893E-2</v>
      </c>
      <c r="S23" s="213"/>
      <c r="T23" s="795">
        <f>SUM(T13:T21)</f>
        <v>923.33333333333337</v>
      </c>
      <c r="U23" s="662">
        <f>SUM(U13:U22)</f>
        <v>1.0085926633221928E-2</v>
      </c>
      <c r="V23" s="213"/>
      <c r="W23" s="795">
        <f>SUM(W13:W21)</f>
        <v>923.33333333333337</v>
      </c>
      <c r="X23" s="662">
        <f>SUM(X13:X22)</f>
        <v>9.3899812256308581E-3</v>
      </c>
      <c r="Y23" s="213"/>
      <c r="Z23" s="795">
        <f>SUM(Z13:Z21)</f>
        <v>923.33333333333337</v>
      </c>
      <c r="AA23" s="662">
        <f>SUM(AA13:AA22)</f>
        <v>9.2676551674805811E-3</v>
      </c>
      <c r="AB23" s="213"/>
      <c r="AC23" s="795">
        <f>SUM(AC13:AC21)</f>
        <v>923.33333333333337</v>
      </c>
      <c r="AD23" s="662">
        <f>SUM(AD13:AD22)</f>
        <v>1.0135318948425167E-2</v>
      </c>
      <c r="AE23" s="213"/>
      <c r="AF23" s="795">
        <f>SUM(AF13:AF21)</f>
        <v>923.33333333333337</v>
      </c>
      <c r="AG23" s="662">
        <f>SUM(AG13:AG22)</f>
        <v>9.7853616253690545E-3</v>
      </c>
      <c r="AH23" s="213"/>
      <c r="AI23" s="795">
        <f>SUM(AI13:AI21)</f>
        <v>923.33333333333337</v>
      </c>
      <c r="AJ23" s="662">
        <f>SUM(AJ13:AJ22)</f>
        <v>1.0527469750579348E-2</v>
      </c>
      <c r="AK23" s="213"/>
      <c r="AL23" s="795">
        <f>SUM(AL13:AL21)</f>
        <v>923.33333333333337</v>
      </c>
      <c r="AM23" s="662">
        <f>SUM(AM13:AM22)</f>
        <v>9.4728806985746802E-3</v>
      </c>
      <c r="AN23" s="213"/>
      <c r="AO23" s="213"/>
      <c r="AP23" s="795">
        <f>SUM(AP13:AP21)</f>
        <v>11080.000000000002</v>
      </c>
      <c r="AQ23" s="662">
        <f>SUM(AQ13:AQ21)</f>
        <v>1.0507070270883741E-2</v>
      </c>
      <c r="AR23" s="213"/>
      <c r="AS23" s="213"/>
      <c r="AT23" s="213"/>
      <c r="AU23" s="251"/>
    </row>
    <row r="24" spans="2:69" ht="14" thickTop="1" x14ac:dyDescent="0.15">
      <c r="L24" s="314"/>
      <c r="O24" s="314"/>
      <c r="R24" s="314"/>
      <c r="U24" s="314"/>
      <c r="X24" s="314"/>
      <c r="AA24" s="314"/>
      <c r="AD24" s="314"/>
      <c r="AG24" s="314"/>
      <c r="AJ24" s="314"/>
      <c r="AM24" s="314"/>
      <c r="AQ24" s="314"/>
    </row>
    <row r="25" spans="2:69" x14ac:dyDescent="0.15">
      <c r="R25" s="314"/>
      <c r="U25" s="314"/>
      <c r="X25" s="314"/>
      <c r="AD25" s="314"/>
      <c r="AG25" s="314"/>
      <c r="AJ25" s="314"/>
      <c r="AM25" s="314"/>
    </row>
    <row r="26" spans="2:69" x14ac:dyDescent="0.15">
      <c r="U26" s="314"/>
      <c r="AG26" s="314"/>
      <c r="AJ26" s="314"/>
      <c r="AM26" s="314"/>
    </row>
    <row r="27" spans="2:69" x14ac:dyDescent="0.15">
      <c r="C27" s="161" t="s">
        <v>2</v>
      </c>
      <c r="E27" s="161" t="s">
        <v>2</v>
      </c>
      <c r="G27" s="161" t="s">
        <v>2</v>
      </c>
      <c r="H27" s="161" t="s">
        <v>2</v>
      </c>
      <c r="U27" s="314"/>
      <c r="AG27" s="314"/>
      <c r="AJ27" s="314"/>
      <c r="AM27" s="314"/>
    </row>
    <row r="28" spans="2:69" x14ac:dyDescent="0.15">
      <c r="H28" s="161" t="s">
        <v>2</v>
      </c>
      <c r="AG28" s="314"/>
      <c r="AJ28" s="314"/>
      <c r="AM28" s="314"/>
    </row>
    <row r="29" spans="2:69" x14ac:dyDescent="0.15">
      <c r="H29" s="161" t="s">
        <v>2</v>
      </c>
      <c r="AM29" s="314"/>
    </row>
    <row r="30" spans="2:69" x14ac:dyDescent="0.15">
      <c r="H30" s="161" t="s">
        <v>2</v>
      </c>
      <c r="BB30" s="170"/>
      <c r="BC30" s="170"/>
      <c r="BD30" s="170"/>
      <c r="BE30" s="170"/>
      <c r="BF30" s="170"/>
      <c r="BG30" s="170"/>
      <c r="BH30" s="170"/>
      <c r="BI30" s="170"/>
      <c r="BJ30" s="170"/>
      <c r="BK30" s="170"/>
      <c r="BL30" s="170"/>
      <c r="BM30" s="170"/>
      <c r="BN30" s="170"/>
      <c r="BO30" s="170"/>
      <c r="BP30" s="170"/>
      <c r="BQ30" s="170"/>
    </row>
    <row r="31" spans="2:69" x14ac:dyDescent="0.15">
      <c r="H31" s="161" t="s">
        <v>2</v>
      </c>
    </row>
    <row r="32" spans="2:69" x14ac:dyDescent="0.15">
      <c r="H32" s="161" t="s">
        <v>2</v>
      </c>
    </row>
    <row r="42" spans="8:8" x14ac:dyDescent="0.15">
      <c r="H42" s="663"/>
    </row>
  </sheetData>
  <sheetProtection algorithmName="SHA-512" hashValue="+3XSTVWBqqPeWTIJ643Om6XBJDTjdzkgeu/vGxo2dV+D54teT+l34D2IX7pD4ORiF+gm5UC4tePP45vgr29JDQ==" saltValue="gCNKiW3jCqG57LVPP5omDw==" spinCount="100000" sheet="1" objects="1" scenarios="1"/>
  <mergeCells count="9">
    <mergeCell ref="B9:C9"/>
    <mergeCell ref="AS2:AS8"/>
    <mergeCell ref="BC2:BC8"/>
    <mergeCell ref="B2:C2"/>
    <mergeCell ref="B3:C3"/>
    <mergeCell ref="B4:C4"/>
    <mergeCell ref="B6:C6"/>
    <mergeCell ref="B7:C7"/>
    <mergeCell ref="B8:C8"/>
  </mergeCells>
  <hyperlinks>
    <hyperlink ref="C11" r:id="rId1" xr:uid="{82DF6343-788C-8E4A-99E0-8A91E88FD207}"/>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ignoredErrors>
    <ignoredError sqref="E13 H13 K13 N13 Q13 T13 W13 Z13 AC13 AF13 AI13 AL13" unlocked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D2DDD-E0B6-8E43-BE60-CDEC8FC05357}">
  <sheetPr>
    <tabColor theme="1"/>
    <pageSetUpPr fitToPage="1"/>
  </sheetPr>
  <dimension ref="B1:BQ48"/>
  <sheetViews>
    <sheetView zoomScale="125" zoomScaleNormal="125" zoomScalePageLayoutView="125" workbookViewId="0">
      <selection activeCell="A13" sqref="A13"/>
    </sheetView>
  </sheetViews>
  <sheetFormatPr baseColWidth="10" defaultRowHeight="13" x14ac:dyDescent="0.15"/>
  <cols>
    <col min="1" max="1" width="2.1640625" style="161" customWidth="1"/>
    <col min="2" max="2" width="5.1640625" style="161" customWidth="1"/>
    <col min="3" max="3" width="46.332031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3"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1430" t="str">
        <f>'Coût marchandises vendues'!B2</f>
        <v>Les Multiples Plaisirs gourmands</v>
      </c>
      <c r="C2" s="1431"/>
      <c r="AS2" s="1388" t="s">
        <v>42</v>
      </c>
      <c r="AT2" s="366"/>
      <c r="AU2" s="366"/>
      <c r="AV2" s="366"/>
      <c r="AW2" s="366"/>
      <c r="AX2" s="366"/>
      <c r="AY2" s="366"/>
      <c r="AZ2" s="366"/>
      <c r="BA2" s="366"/>
      <c r="BB2" s="366"/>
      <c r="BC2" s="1391" t="s">
        <v>43</v>
      </c>
    </row>
    <row r="3" spans="2:56" ht="20" customHeight="1" x14ac:dyDescent="0.2">
      <c r="B3" s="1432" t="str">
        <f>'Coût marchandises vendues'!B3</f>
        <v xml:space="preserve">États des résultats </v>
      </c>
      <c r="C3" s="1433"/>
      <c r="AS3" s="1389"/>
      <c r="AT3" s="367"/>
      <c r="AU3" s="367"/>
      <c r="AV3" s="367"/>
      <c r="AW3" s="367"/>
      <c r="AX3" s="367"/>
      <c r="AY3" s="367"/>
      <c r="AZ3" s="367"/>
      <c r="BA3" s="367"/>
      <c r="BB3" s="367"/>
      <c r="BC3" s="1392"/>
    </row>
    <row r="4" spans="2:56" ht="20" customHeight="1" thickBot="1" x14ac:dyDescent="0.3">
      <c r="B4" s="1434" t="str">
        <f>'Coût marchandises vendues'!B4</f>
        <v>Pour la période du 1er janvier 2021 au 31 décembre 2021</v>
      </c>
      <c r="C4" s="1435"/>
      <c r="AS4" s="1389"/>
      <c r="AT4" s="368" t="str">
        <f>'Formule pour le calcul D'!BA103</f>
        <v>Coût annuel</v>
      </c>
      <c r="AU4" s="368" t="s">
        <v>44</v>
      </c>
      <c r="AV4" s="368" t="str">
        <f>'Formule pour le calcul D'!BC103</f>
        <v>Achalandage annuelle</v>
      </c>
      <c r="AW4" s="368" t="s">
        <v>45</v>
      </c>
      <c r="AX4" s="368" t="s">
        <v>46</v>
      </c>
      <c r="AY4" s="368" t="str">
        <f>'Formule pour le calcul D'!BF103</f>
        <v>Um/A</v>
      </c>
      <c r="AZ4" s="368" t="s">
        <v>45</v>
      </c>
      <c r="BA4" s="368" t="str">
        <f>'Formule pour le calcul D'!BH103</f>
        <v>CmO</v>
      </c>
      <c r="BB4" s="368" t="s">
        <v>49</v>
      </c>
      <c r="BC4" s="1392"/>
    </row>
    <row r="5" spans="2:56" ht="21" thickTop="1" thickBot="1" x14ac:dyDescent="0.3">
      <c r="AS5" s="1389"/>
      <c r="AT5" s="369" t="s">
        <v>2</v>
      </c>
      <c r="AU5" s="370"/>
      <c r="AV5" s="369"/>
      <c r="AW5" s="370"/>
      <c r="AX5" s="370"/>
      <c r="AY5" s="370"/>
      <c r="AZ5" s="370"/>
      <c r="BA5" s="370"/>
      <c r="BB5" s="370"/>
      <c r="BC5" s="1392"/>
    </row>
    <row r="6" spans="2:56" ht="27" thickTop="1" x14ac:dyDescent="0.3">
      <c r="B6" s="1406" t="str">
        <f>'Coût marchandises vendues'!B6</f>
        <v>Nb de places</v>
      </c>
      <c r="C6" s="1436"/>
      <c r="E6" s="637" t="str">
        <f>'Services publics'!E6</f>
        <v>Coût / place / jour</v>
      </c>
      <c r="F6" s="638">
        <f>+E29/$B$7/'Calendrier 2021'!D8</f>
        <v>2.5805555555555562</v>
      </c>
      <c r="G6" s="170"/>
      <c r="H6" s="637" t="str">
        <f>+E6</f>
        <v>Coût / place / jour</v>
      </c>
      <c r="I6" s="638">
        <f>+H29/$B$7/'Calendrier 2021'!E8</f>
        <v>2.7903025793650795</v>
      </c>
      <c r="J6" s="170"/>
      <c r="K6" s="637" t="str">
        <f>+H6</f>
        <v>Coût / place / jour</v>
      </c>
      <c r="L6" s="638">
        <f>+K29/$B$7/'Calendrier 2021'!F8</f>
        <v>2.7377016129032259</v>
      </c>
      <c r="M6" s="170"/>
      <c r="N6" s="637" t="str">
        <f>+K6</f>
        <v>Coût / place / jour</v>
      </c>
      <c r="O6" s="638">
        <f>+N29/$B$7/'Calendrier 2021'!G8</f>
        <v>2.9374449305555559</v>
      </c>
      <c r="P6" s="422"/>
      <c r="Q6" s="637" t="str">
        <f>+N6</f>
        <v>Coût / place / jour</v>
      </c>
      <c r="R6" s="638">
        <f>+Q29/$B$7/'Calendrier 2021'!H8</f>
        <v>3.0132007168458781</v>
      </c>
      <c r="S6" s="422"/>
      <c r="T6" s="637" t="str">
        <f>+Q6</f>
        <v>Coût / place / jour</v>
      </c>
      <c r="U6" s="638">
        <f>+T29/$B$7/'Calendrier 2021'!I8</f>
        <v>3.1821306481481479</v>
      </c>
      <c r="V6" s="170"/>
      <c r="W6" s="637" t="str">
        <f>+T6</f>
        <v>Coût / place / jour</v>
      </c>
      <c r="X6" s="638">
        <f>+W29/$B$7/'Calendrier 2021'!J8</f>
        <v>3.2618751344086028</v>
      </c>
      <c r="Y6" s="170"/>
      <c r="Z6" s="637" t="str">
        <f>+W6</f>
        <v>Coût / place / jour</v>
      </c>
      <c r="AA6" s="638">
        <f>+Z29/$B$7/'Calendrier 2021'!K8</f>
        <v>3.296765053763441</v>
      </c>
      <c r="AB6" s="170"/>
      <c r="AC6" s="637" t="str">
        <f>+Z6</f>
        <v>Coût / place / jour</v>
      </c>
      <c r="AD6" s="638">
        <f>+AC29/$B$7/'Calendrier 2021'!L8</f>
        <v>3.1697380555555559</v>
      </c>
      <c r="AE6" s="170"/>
      <c r="AF6" s="637" t="str">
        <f>+AC6</f>
        <v>Coût / place / jour</v>
      </c>
      <c r="AG6" s="638">
        <f>+AF29/$B$7/'Calendrier 2021'!M8</f>
        <v>3.1550707437275993</v>
      </c>
      <c r="AH6" s="170"/>
      <c r="AI6" s="637" t="str">
        <f>+AF6</f>
        <v>Coût / place / jour</v>
      </c>
      <c r="AJ6" s="638">
        <f>+AI29/$B$7/'Calendrier 2021'!N8</f>
        <v>3.0754736574074073</v>
      </c>
      <c r="AK6" s="170"/>
      <c r="AL6" s="637" t="str">
        <f>+AI6</f>
        <v>Coût / place / jour</v>
      </c>
      <c r="AM6" s="638">
        <f>+AL29/$B$7/'Calendrier 2021'!O8</f>
        <v>3.2387427419354844</v>
      </c>
      <c r="AN6" s="170"/>
      <c r="AO6" s="170"/>
      <c r="AP6" s="639" t="str">
        <f>+AL6</f>
        <v>Coût / place / jour</v>
      </c>
      <c r="AQ6" s="640">
        <f>+AP29/$B$7/'% Occupation'!P9</f>
        <v>3.0380091761796044</v>
      </c>
      <c r="AS6" s="1389"/>
      <c r="AT6" s="629" t="str">
        <f>'Formule pour le calcul D'!BA105</f>
        <v xml:space="preserve">C </v>
      </c>
      <c r="AU6" s="372"/>
      <c r="AV6" s="371" t="str">
        <f>'Formule pour le calcul D'!BC105</f>
        <v>A</v>
      </c>
      <c r="AW6" s="372"/>
      <c r="AX6" s="372"/>
      <c r="AY6" s="371" t="str">
        <f>AY4</f>
        <v>Um/A</v>
      </c>
      <c r="AZ6" s="372"/>
      <c r="BA6" s="371" t="str">
        <f>BA4</f>
        <v>CmO</v>
      </c>
      <c r="BB6" s="372"/>
      <c r="BC6" s="1392"/>
    </row>
    <row r="7" spans="2:56" ht="21" x14ac:dyDescent="0.25">
      <c r="B7" s="1438">
        <f>'Coût marchandises vendues'!B7</f>
        <v>30</v>
      </c>
      <c r="C7" s="1437"/>
      <c r="E7" s="424">
        <f>+E29/$AP29</f>
        <v>7.2142794551173395E-2</v>
      </c>
      <c r="F7" s="641"/>
      <c r="H7" s="424">
        <f>+H29/$AP29</f>
        <v>7.0457525443416116E-2</v>
      </c>
      <c r="I7" s="641"/>
      <c r="K7" s="424">
        <f>+K29/$AP29</f>
        <v>7.653601743891672E-2</v>
      </c>
      <c r="L7" s="425"/>
      <c r="N7" s="424">
        <f>+N29/$AP29</f>
        <v>7.9471066710959284E-2</v>
      </c>
      <c r="O7" s="425"/>
      <c r="P7" s="642"/>
      <c r="Q7" s="424">
        <f>+Q29/$AP29</f>
        <v>8.4237954028492781E-2</v>
      </c>
      <c r="R7" s="425"/>
      <c r="S7" s="642"/>
      <c r="T7" s="424">
        <f>+T29/$AP29</f>
        <v>8.6090913361954083E-2</v>
      </c>
      <c r="U7" s="425"/>
      <c r="W7" s="424">
        <f>+W29/$AP29</f>
        <v>9.1189971541829423E-2</v>
      </c>
      <c r="X7" s="425"/>
      <c r="Z7" s="424">
        <f>+Z29/$AP29</f>
        <v>9.2165364719668283E-2</v>
      </c>
      <c r="AA7" s="425"/>
      <c r="AC7" s="424">
        <f>+AC29/$AP29</f>
        <v>8.5755638122441302E-2</v>
      </c>
      <c r="AD7" s="425"/>
      <c r="AF7" s="424">
        <f>+AF29/$AP29</f>
        <v>8.8204115570825484E-2</v>
      </c>
      <c r="AG7" s="425"/>
      <c r="AI7" s="424">
        <f>+AI29/$AP29</f>
        <v>8.3205363155317708E-2</v>
      </c>
      <c r="AJ7" s="425"/>
      <c r="AL7" s="424">
        <f>+AL29/$AP29</f>
        <v>9.0543275355005406E-2</v>
      </c>
      <c r="AM7" s="425"/>
      <c r="AP7" s="643">
        <f>+AP29/$AP29</f>
        <v>1</v>
      </c>
      <c r="AQ7" s="644" t="s">
        <v>136</v>
      </c>
      <c r="AS7" s="1389"/>
      <c r="AT7" s="630">
        <f>AP29</f>
        <v>33266.20047916667</v>
      </c>
      <c r="AU7" s="368" t="s">
        <v>44</v>
      </c>
      <c r="AV7" s="631">
        <f>'Formule pour le calcul D'!G114</f>
        <v>52000</v>
      </c>
      <c r="AW7" s="368" t="s">
        <v>45</v>
      </c>
      <c r="AX7" s="368" t="s">
        <v>46</v>
      </c>
      <c r="AY7" s="632">
        <f>'Formule pour le calcul D'!J106</f>
        <v>3.1499999999999995</v>
      </c>
      <c r="AZ7" s="368" t="s">
        <v>45</v>
      </c>
      <c r="BA7" s="633">
        <f>AT7/AV7/AY7</f>
        <v>0.20309035701566958</v>
      </c>
      <c r="BB7" s="368" t="s">
        <v>49</v>
      </c>
      <c r="BC7" s="1392"/>
    </row>
    <row r="8" spans="2:56" ht="17" thickBot="1" x14ac:dyDescent="0.25">
      <c r="B8" s="1410" t="s">
        <v>334</v>
      </c>
      <c r="C8" s="1437"/>
      <c r="E8" s="646" t="str">
        <f>'Mark &amp; Communication marketing'!E8</f>
        <v>Pér.01</v>
      </c>
      <c r="F8" s="645" t="str">
        <f>'Mark &amp; Communication marketing'!F8</f>
        <v>(%)</v>
      </c>
      <c r="G8" s="382"/>
      <c r="H8" s="646" t="str">
        <f>'Mark &amp; Communication marketing'!H8</f>
        <v>Pér.02</v>
      </c>
      <c r="I8" s="645" t="str">
        <f>F8</f>
        <v>(%)</v>
      </c>
      <c r="J8" s="382"/>
      <c r="K8" s="646" t="str">
        <f>'Mark &amp; Communication marketing'!K8</f>
        <v>Pér.03</v>
      </c>
      <c r="L8" s="645" t="str">
        <f>I8</f>
        <v>(%)</v>
      </c>
      <c r="M8" s="382"/>
      <c r="N8" s="646" t="str">
        <f>'Mark &amp; Communication marketing'!N8</f>
        <v>Pér.04</v>
      </c>
      <c r="O8" s="645" t="str">
        <f>L8</f>
        <v>(%)</v>
      </c>
      <c r="P8" s="426"/>
      <c r="Q8" s="646" t="str">
        <f>'Mark &amp; Communication marketing'!Q8</f>
        <v>Pér.05</v>
      </c>
      <c r="R8" s="645" t="str">
        <f>O8</f>
        <v>(%)</v>
      </c>
      <c r="S8" s="426"/>
      <c r="T8" s="646" t="str">
        <f>'Mark &amp; Communication marketing'!T8</f>
        <v>Pér.06</v>
      </c>
      <c r="U8" s="645" t="str">
        <f>R8</f>
        <v>(%)</v>
      </c>
      <c r="V8" s="382"/>
      <c r="W8" s="646" t="str">
        <f>'Mark &amp; Communication marketing'!W8</f>
        <v>Pér.07</v>
      </c>
      <c r="X8" s="645" t="str">
        <f>U8</f>
        <v>(%)</v>
      </c>
      <c r="Y8" s="382"/>
      <c r="Z8" s="646" t="str">
        <f>'Mark &amp; Communication marketing'!Z8</f>
        <v>Pér.08</v>
      </c>
      <c r="AA8" s="645" t="str">
        <f>X8</f>
        <v>(%)</v>
      </c>
      <c r="AB8" s="382"/>
      <c r="AC8" s="646" t="str">
        <f>'Mark &amp; Communication marketing'!AC8</f>
        <v>Pér.09</v>
      </c>
      <c r="AD8" s="645" t="str">
        <f>AA8</f>
        <v>(%)</v>
      </c>
      <c r="AE8" s="382"/>
      <c r="AF8" s="646" t="str">
        <f>'Mark &amp; Communication marketing'!AF8</f>
        <v>Pér.10</v>
      </c>
      <c r="AG8" s="645" t="str">
        <f>AD8</f>
        <v>(%)</v>
      </c>
      <c r="AH8" s="382"/>
      <c r="AI8" s="646" t="str">
        <f>'Mark &amp; Communication marketing'!AI8</f>
        <v>Pér.11</v>
      </c>
      <c r="AJ8" s="645" t="str">
        <f>AG8</f>
        <v>(%)</v>
      </c>
      <c r="AK8" s="382"/>
      <c r="AL8" s="646" t="str">
        <f>'Mark &amp; Communication marketing'!AL8</f>
        <v>Pér.12</v>
      </c>
      <c r="AM8" s="645" t="str">
        <f>AJ8</f>
        <v>(%)</v>
      </c>
      <c r="AN8" s="647" t="s">
        <v>2</v>
      </c>
      <c r="AO8" s="382"/>
      <c r="AP8" s="648" t="str">
        <f>'Musique &amp; Divertissement'!AP8</f>
        <v>Total</v>
      </c>
      <c r="AQ8" s="645" t="str">
        <f>AM8</f>
        <v>(%)</v>
      </c>
      <c r="AS8" s="1390"/>
      <c r="AT8" s="373"/>
      <c r="AU8" s="373"/>
      <c r="AV8" s="373"/>
      <c r="AW8" s="373"/>
      <c r="AX8" s="373"/>
      <c r="AY8" s="373"/>
      <c r="AZ8" s="373"/>
      <c r="BA8" s="373"/>
      <c r="BB8" s="373"/>
      <c r="BC8" s="1393"/>
    </row>
    <row r="9" spans="2:56" ht="15" thickTop="1" thickBot="1" x14ac:dyDescent="0.2">
      <c r="B9" s="1446">
        <f>AP29/$B$7</f>
        <v>1108.8733493055556</v>
      </c>
      <c r="C9" s="1447"/>
      <c r="E9" s="664" t="str">
        <f>'Mark &amp; Communication marketing'!E9</f>
        <v>Janvier 2021</v>
      </c>
      <c r="F9" s="665"/>
      <c r="G9" s="292"/>
      <c r="H9" s="666" t="str">
        <f>'Mark &amp; Communication marketing'!H9</f>
        <v>Février 2021</v>
      </c>
      <c r="I9" s="667"/>
      <c r="J9" s="292"/>
      <c r="K9" s="666" t="str">
        <f>'Mark &amp; Communication marketing'!K9</f>
        <v>Mars 2021</v>
      </c>
      <c r="L9" s="667"/>
      <c r="M9" s="292"/>
      <c r="N9" s="664" t="str">
        <f>'Mark &amp; Communication marketing'!N9</f>
        <v>Avril 2021</v>
      </c>
      <c r="O9" s="665"/>
      <c r="P9" s="668"/>
      <c r="Q9" s="664" t="str">
        <f>'Mark &amp; Communication marketing'!Q9</f>
        <v>Mai 2021</v>
      </c>
      <c r="R9" s="665"/>
      <c r="S9" s="668"/>
      <c r="T9" s="666" t="str">
        <f>'Mark &amp; Communication marketing'!T9</f>
        <v>Juin 2021</v>
      </c>
      <c r="U9" s="667"/>
      <c r="V9" s="292"/>
      <c r="W9" s="666" t="str">
        <f>'Mark &amp; Communication marketing'!W9</f>
        <v>Juillet 2021</v>
      </c>
      <c r="X9" s="667"/>
      <c r="Y9" s="292"/>
      <c r="Z9" s="666" t="str">
        <f>'Mark &amp; Communication marketing'!Z9</f>
        <v>Août 2021</v>
      </c>
      <c r="AA9" s="667"/>
      <c r="AB9" s="292"/>
      <c r="AC9" s="666" t="str">
        <f>'Mark &amp; Communication marketing'!AC9</f>
        <v>Septembre 2021</v>
      </c>
      <c r="AD9" s="667"/>
      <c r="AE9" s="292"/>
      <c r="AF9" s="666" t="str">
        <f>'Mark &amp; Communication marketing'!AF9</f>
        <v>Octobre 2021</v>
      </c>
      <c r="AG9" s="667"/>
      <c r="AH9" s="292"/>
      <c r="AI9" s="666" t="str">
        <f>'Mark &amp; Communication marketing'!AI9</f>
        <v>Novembre 2021</v>
      </c>
      <c r="AJ9" s="667"/>
      <c r="AK9" s="292"/>
      <c r="AL9" s="666" t="str">
        <f>'Mark &amp; Communication marketing'!AL9</f>
        <v>Décembre 2021</v>
      </c>
      <c r="AM9" s="667"/>
      <c r="AN9" s="292"/>
      <c r="AO9" s="292"/>
      <c r="AP9" s="669" t="str">
        <f>'Mark &amp; Communication marketing'!AP9</f>
        <v>Année</v>
      </c>
      <c r="AQ9" s="670"/>
      <c r="AR9" s="702"/>
      <c r="AS9" s="702"/>
      <c r="AT9" s="649"/>
      <c r="AU9" s="649"/>
      <c r="AV9" s="649"/>
      <c r="AW9" s="649"/>
      <c r="AX9" s="649"/>
      <c r="AY9" s="649"/>
      <c r="AZ9" s="649"/>
    </row>
    <row r="10" spans="2:56" ht="15" thickTop="1" thickBot="1" x14ac:dyDescent="0.2">
      <c r="D10" s="251"/>
      <c r="G10" s="388"/>
      <c r="J10" s="388"/>
      <c r="M10" s="388"/>
      <c r="P10" s="433"/>
      <c r="S10" s="433"/>
      <c r="V10" s="388"/>
      <c r="Y10" s="187"/>
      <c r="AB10" s="388"/>
      <c r="AE10" s="388"/>
      <c r="AH10" s="388"/>
      <c r="AK10" s="388"/>
      <c r="AN10" s="388"/>
      <c r="AO10" s="388"/>
      <c r="AR10" s="170"/>
      <c r="AS10" s="170"/>
      <c r="AT10" s="170"/>
    </row>
    <row r="11" spans="2:56" ht="14" thickTop="1" x14ac:dyDescent="0.15">
      <c r="B11" s="650"/>
      <c r="C11" s="713" t="s">
        <v>335</v>
      </c>
      <c r="E11" s="650"/>
      <c r="F11" s="651"/>
      <c r="H11" s="650"/>
      <c r="I11" s="651"/>
      <c r="K11" s="650"/>
      <c r="L11" s="651"/>
      <c r="N11" s="650"/>
      <c r="O11" s="651"/>
      <c r="Q11" s="650"/>
      <c r="R11" s="651"/>
      <c r="T11" s="650"/>
      <c r="U11" s="651"/>
      <c r="W11" s="650"/>
      <c r="X11" s="651"/>
      <c r="Z11" s="650"/>
      <c r="AA11" s="651"/>
      <c r="AC11" s="650"/>
      <c r="AD11" s="651"/>
      <c r="AF11" s="650"/>
      <c r="AG11" s="651"/>
      <c r="AI11" s="650"/>
      <c r="AJ11" s="651"/>
      <c r="AL11" s="650"/>
      <c r="AM11" s="651"/>
      <c r="AP11" s="613"/>
      <c r="AQ11" s="615"/>
      <c r="AR11" s="187"/>
      <c r="AS11" s="187"/>
      <c r="AT11" s="187"/>
      <c r="AU11" s="187"/>
      <c r="AV11" s="187"/>
      <c r="AW11" s="187"/>
      <c r="AX11" s="187"/>
      <c r="AY11" s="187"/>
      <c r="AZ11" s="187"/>
      <c r="BA11" s="187"/>
      <c r="BB11" s="187"/>
      <c r="BC11" s="187"/>
      <c r="BD11" s="187"/>
    </row>
    <row r="12" spans="2:56" x14ac:dyDescent="0.15">
      <c r="B12" s="190"/>
      <c r="C12" s="652"/>
      <c r="E12" s="190"/>
      <c r="F12" s="391"/>
      <c r="H12" s="190"/>
      <c r="I12" s="391"/>
      <c r="K12" s="190"/>
      <c r="L12" s="391"/>
      <c r="N12" s="190"/>
      <c r="O12" s="391"/>
      <c r="Q12" s="190"/>
      <c r="R12" s="391"/>
      <c r="T12" s="190"/>
      <c r="U12" s="391"/>
      <c r="W12" s="190"/>
      <c r="X12" s="391"/>
      <c r="Z12" s="190"/>
      <c r="AA12" s="391"/>
      <c r="AC12" s="190"/>
      <c r="AD12" s="391"/>
      <c r="AF12" s="190"/>
      <c r="AG12" s="391"/>
      <c r="AI12" s="190"/>
      <c r="AJ12" s="391"/>
      <c r="AL12" s="190"/>
      <c r="AM12" s="191"/>
      <c r="AP12" s="193"/>
      <c r="AQ12" s="494"/>
      <c r="AR12" s="187"/>
      <c r="AS12" s="187"/>
      <c r="AT12" s="187"/>
      <c r="AU12" s="187"/>
      <c r="AV12" s="187"/>
      <c r="AW12" s="187"/>
      <c r="AX12" s="187"/>
      <c r="AY12" s="187"/>
      <c r="AZ12" s="187"/>
      <c r="BA12" s="187"/>
      <c r="BB12" s="187"/>
      <c r="BC12" s="187"/>
      <c r="BD12" s="187"/>
    </row>
    <row r="13" spans="2:56" x14ac:dyDescent="0.15">
      <c r="B13" s="190">
        <v>7805</v>
      </c>
      <c r="C13" s="391" t="s">
        <v>336</v>
      </c>
      <c r="E13" s="1069">
        <v>50</v>
      </c>
      <c r="F13" s="654">
        <f>E13/'État des Résultats'!E$14</f>
        <v>6.8505663134819136E-4</v>
      </c>
      <c r="H13" s="1069">
        <f>+E13</f>
        <v>50</v>
      </c>
      <c r="I13" s="654">
        <f>H13/'État des Résultats'!H$14</f>
        <v>7.0677205423297557E-4</v>
      </c>
      <c r="K13" s="1069">
        <f>+H13</f>
        <v>50</v>
      </c>
      <c r="L13" s="654">
        <f>K13/'État des Résultats'!K$14</f>
        <v>6.3425617606951447E-4</v>
      </c>
      <c r="N13" s="1069">
        <f>+K13</f>
        <v>50</v>
      </c>
      <c r="O13" s="654">
        <f>N13/'État des Résultats'!N$14</f>
        <v>6.0431711455982131E-4</v>
      </c>
      <c r="Q13" s="1069">
        <f>+N13</f>
        <v>50</v>
      </c>
      <c r="R13" s="654">
        <f>Q13/'État des Résultats'!Q$14</f>
        <v>5.612864985900483E-4</v>
      </c>
      <c r="T13" s="1069">
        <f>+Q13</f>
        <v>50</v>
      </c>
      <c r="U13" s="654">
        <f>T13/'État des Résultats'!T$14</f>
        <v>5.4616931226833542E-4</v>
      </c>
      <c r="W13" s="1069">
        <f>+T13</f>
        <v>50</v>
      </c>
      <c r="X13" s="654">
        <f>W13/'État des Résultats'!W$14</f>
        <v>5.0848273785004646E-4</v>
      </c>
      <c r="Z13" s="1069">
        <f>+W13</f>
        <v>50</v>
      </c>
      <c r="AA13" s="654">
        <f>Z13/'État des Résultats'!Z$14</f>
        <v>5.0185858307656575E-4</v>
      </c>
      <c r="AC13" s="1069">
        <f>+Z13</f>
        <v>50</v>
      </c>
      <c r="AD13" s="654">
        <f>AC13/'État des Résultats'!AC$14</f>
        <v>5.4884398637681403E-4</v>
      </c>
      <c r="AF13" s="1069">
        <f>+AC13</f>
        <v>50</v>
      </c>
      <c r="AG13" s="654">
        <f>AF13/'État des Résultats'!AF$14</f>
        <v>5.2989322881059854E-4</v>
      </c>
      <c r="AI13" s="1069">
        <f>+AF13</f>
        <v>50</v>
      </c>
      <c r="AJ13" s="654">
        <f>AI13/'État des Résultats'!AI$14</f>
        <v>5.7007958938155314E-4</v>
      </c>
      <c r="AL13" s="1069">
        <f>+AI13</f>
        <v>50</v>
      </c>
      <c r="AM13" s="654">
        <f>AL13/'État des Résultats'!AL$14</f>
        <v>5.1297187898418836E-4</v>
      </c>
      <c r="AP13" s="796">
        <f>SUM(+$AL13+$AI13+$AF13+$AC13+$Z13+$W13+$T13+$Q13+$N13+$K13+$H13+$E13)</f>
        <v>600</v>
      </c>
      <c r="AQ13" s="656">
        <f>AP13/'État des Résultats'!$AP$14</f>
        <v>5.6897492441608695E-4</v>
      </c>
    </row>
    <row r="14" spans="2:56" x14ac:dyDescent="0.15">
      <c r="B14" s="190">
        <v>7810</v>
      </c>
      <c r="C14" s="391" t="s">
        <v>337</v>
      </c>
      <c r="E14" s="1069">
        <v>0</v>
      </c>
      <c r="F14" s="654">
        <f>E14/'État des Résultats'!E$14</f>
        <v>0</v>
      </c>
      <c r="H14" s="1069">
        <v>0</v>
      </c>
      <c r="I14" s="654">
        <f>H14/'État des Résultats'!H$14</f>
        <v>0</v>
      </c>
      <c r="K14" s="1069">
        <v>0</v>
      </c>
      <c r="L14" s="654">
        <f>K14/'État des Résultats'!K$14</f>
        <v>0</v>
      </c>
      <c r="N14" s="1069">
        <v>0</v>
      </c>
      <c r="O14" s="654">
        <f>N14/'État des Résultats'!N$14</f>
        <v>0</v>
      </c>
      <c r="Q14" s="1069">
        <v>0</v>
      </c>
      <c r="R14" s="654">
        <f>Q14/'État des Résultats'!Q$14</f>
        <v>0</v>
      </c>
      <c r="T14" s="1069">
        <v>0</v>
      </c>
      <c r="U14" s="654">
        <f>T14/'État des Résultats'!T$14</f>
        <v>0</v>
      </c>
      <c r="W14" s="1069">
        <v>0</v>
      </c>
      <c r="X14" s="654">
        <f>W14/'État des Résultats'!W$14</f>
        <v>0</v>
      </c>
      <c r="Z14" s="1069">
        <v>0</v>
      </c>
      <c r="AA14" s="654">
        <f>Z14/'État des Résultats'!Z$14</f>
        <v>0</v>
      </c>
      <c r="AC14" s="1069">
        <v>0</v>
      </c>
      <c r="AD14" s="654">
        <f>AC14/'État des Résultats'!AC$14</f>
        <v>0</v>
      </c>
      <c r="AF14" s="1069">
        <v>0</v>
      </c>
      <c r="AG14" s="654">
        <f>AF14/'État des Résultats'!AF$14</f>
        <v>0</v>
      </c>
      <c r="AI14" s="1069">
        <v>0</v>
      </c>
      <c r="AJ14" s="654">
        <f>AI14/'État des Résultats'!AI$14</f>
        <v>0</v>
      </c>
      <c r="AL14" s="1069">
        <v>0</v>
      </c>
      <c r="AM14" s="654">
        <f>AL14/'État des Résultats'!AL$14</f>
        <v>0</v>
      </c>
      <c r="AP14" s="796">
        <f>SUM(+$AL14+$AI14+$AF14+$AC14+$Z14+$W14+$T14+$Q14+$N14+$K14+$H14+$E14)</f>
        <v>0</v>
      </c>
      <c r="AQ14" s="656">
        <f>AP14/'État des Résultats'!$AP$14</f>
        <v>0</v>
      </c>
    </row>
    <row r="15" spans="2:56" x14ac:dyDescent="0.15">
      <c r="B15" s="714">
        <v>7815</v>
      </c>
      <c r="C15" s="715" t="s">
        <v>338</v>
      </c>
      <c r="E15" s="1069">
        <v>0</v>
      </c>
      <c r="F15" s="654">
        <f>E15/'État des Résultats'!E$14</f>
        <v>0</v>
      </c>
      <c r="G15" s="658" t="s">
        <v>2</v>
      </c>
      <c r="H15" s="1069">
        <v>0</v>
      </c>
      <c r="I15" s="654">
        <f>H15/'État des Résultats'!H$14</f>
        <v>0</v>
      </c>
      <c r="K15" s="1069">
        <v>0</v>
      </c>
      <c r="L15" s="654">
        <f>K15/'État des Résultats'!K$14</f>
        <v>0</v>
      </c>
      <c r="N15" s="1069">
        <v>0</v>
      </c>
      <c r="O15" s="654">
        <f>N15/'État des Résultats'!N$14</f>
        <v>0</v>
      </c>
      <c r="Q15" s="1069">
        <v>0</v>
      </c>
      <c r="R15" s="654">
        <f>Q15/'État des Résultats'!Q$14</f>
        <v>0</v>
      </c>
      <c r="T15" s="1069">
        <v>0</v>
      </c>
      <c r="U15" s="654">
        <f>T15/'État des Résultats'!T$14</f>
        <v>0</v>
      </c>
      <c r="W15" s="1069">
        <v>0</v>
      </c>
      <c r="X15" s="654">
        <f>W15/'État des Résultats'!W$14</f>
        <v>0</v>
      </c>
      <c r="Z15" s="1069">
        <v>0</v>
      </c>
      <c r="AA15" s="654">
        <f>Z15/'État des Résultats'!Z$14</f>
        <v>0</v>
      </c>
      <c r="AC15" s="1069">
        <v>0</v>
      </c>
      <c r="AD15" s="654">
        <f>AC15/'État des Résultats'!AC$14</f>
        <v>0</v>
      </c>
      <c r="AF15" s="1069">
        <v>0</v>
      </c>
      <c r="AG15" s="654">
        <f>AF15/'État des Résultats'!AF$14</f>
        <v>0</v>
      </c>
      <c r="AI15" s="1069">
        <v>0</v>
      </c>
      <c r="AJ15" s="654">
        <f>AI15/'État des Résultats'!AI$14</f>
        <v>0</v>
      </c>
      <c r="AL15" s="1069">
        <v>0</v>
      </c>
      <c r="AM15" s="654">
        <f>AL15/'État des Résultats'!AL$14</f>
        <v>0</v>
      </c>
      <c r="AP15" s="796">
        <f t="shared" ref="AP15:AP27" si="0">SUM(+$AL15+$AI15+$AF15+$AC15+$Z15+$W15+$T15+$Q15+$N15+$K15+$H15+$E15)</f>
        <v>0</v>
      </c>
      <c r="AQ15" s="656">
        <f>AP15/'État des Résultats'!$AP$14</f>
        <v>0</v>
      </c>
    </row>
    <row r="16" spans="2:56" x14ac:dyDescent="0.15">
      <c r="B16" s="190">
        <v>7820</v>
      </c>
      <c r="C16" s="391" t="s">
        <v>339</v>
      </c>
      <c r="E16" s="1069">
        <f>(1108/12)</f>
        <v>92.333333333333329</v>
      </c>
      <c r="F16" s="654">
        <f>E16/'État des Résultats'!E$14</f>
        <v>1.26507124588966E-3</v>
      </c>
      <c r="H16" s="1069">
        <f>(1108/12)</f>
        <v>92.333333333333329</v>
      </c>
      <c r="I16" s="654">
        <f>H16/'État des Résultats'!H$14</f>
        <v>1.3051723934835615E-3</v>
      </c>
      <c r="K16" s="1069">
        <f>(1108/12)</f>
        <v>92.333333333333329</v>
      </c>
      <c r="L16" s="654">
        <f>K16/'État des Résultats'!K$14</f>
        <v>1.1712597384750368E-3</v>
      </c>
      <c r="N16" s="1069">
        <f>(1108/12)</f>
        <v>92.333333333333329</v>
      </c>
      <c r="O16" s="654">
        <f>N16/'État des Résultats'!N$14</f>
        <v>1.1159722715538033E-3</v>
      </c>
      <c r="Q16" s="1069">
        <f>(1108/12)</f>
        <v>92.333333333333329</v>
      </c>
      <c r="R16" s="654">
        <f>Q16/'État des Résultats'!Q$14</f>
        <v>1.0365090673962892E-3</v>
      </c>
      <c r="T16" s="1069">
        <f>(1108/12)</f>
        <v>92.333333333333329</v>
      </c>
      <c r="U16" s="654">
        <f>T16/'État des Résultats'!T$14</f>
        <v>1.0085926633221927E-3</v>
      </c>
      <c r="W16" s="1069">
        <f>(1108/12)</f>
        <v>92.333333333333329</v>
      </c>
      <c r="X16" s="654">
        <f>W16/'État des Résultats'!W$14</f>
        <v>9.3899812256308568E-4</v>
      </c>
      <c r="Z16" s="1069">
        <f>(1108/12)</f>
        <v>92.333333333333329</v>
      </c>
      <c r="AA16" s="654">
        <f>Z16/'État des Résultats'!Z$14</f>
        <v>9.2676551674805805E-4</v>
      </c>
      <c r="AC16" s="1069">
        <f>(1108/12)</f>
        <v>92.333333333333329</v>
      </c>
      <c r="AD16" s="654">
        <f>AC16/'État des Résultats'!AC$14</f>
        <v>1.0135318948425165E-3</v>
      </c>
      <c r="AF16" s="1069">
        <f>(1108/12)</f>
        <v>92.333333333333329</v>
      </c>
      <c r="AG16" s="654">
        <f>AF16/'État des Résultats'!AF$14</f>
        <v>9.7853616253690528E-4</v>
      </c>
      <c r="AI16" s="1069">
        <f>(1108/12)</f>
        <v>92.333333333333329</v>
      </c>
      <c r="AJ16" s="654">
        <f>AI16/'État des Résultats'!AI$14</f>
        <v>1.0527469750579348E-3</v>
      </c>
      <c r="AL16" s="1069">
        <f>(1108/12)</f>
        <v>92.333333333333329</v>
      </c>
      <c r="AM16" s="654">
        <f>AL16/'État des Résultats'!AL$14</f>
        <v>9.4728806985746792E-4</v>
      </c>
      <c r="AP16" s="796">
        <f t="shared" si="0"/>
        <v>1108.0000000000002</v>
      </c>
      <c r="AQ16" s="656">
        <f>AP16/'État des Résultats'!$AP$14</f>
        <v>1.0507070270883742E-3</v>
      </c>
    </row>
    <row r="17" spans="2:47" x14ac:dyDescent="0.15">
      <c r="B17" s="190">
        <v>7825</v>
      </c>
      <c r="C17" s="391" t="s">
        <v>547</v>
      </c>
      <c r="E17" s="1069">
        <v>32.916666666666664</v>
      </c>
      <c r="F17" s="654">
        <f>E17/'État des Résultats'!E$14</f>
        <v>4.5099561563755931E-4</v>
      </c>
      <c r="H17" s="1069">
        <f>+E17</f>
        <v>32.916666666666664</v>
      </c>
      <c r="I17" s="654">
        <f>H17/'État des Résultats'!H$14</f>
        <v>4.6529160237004225E-4</v>
      </c>
      <c r="K17" s="1069">
        <f>+H17</f>
        <v>32.916666666666664</v>
      </c>
      <c r="L17" s="654">
        <f>K17/'État des Résultats'!K$14</f>
        <v>4.1755198257909703E-4</v>
      </c>
      <c r="N17" s="1069">
        <f>+K17</f>
        <v>32.916666666666664</v>
      </c>
      <c r="O17" s="654">
        <f>N17/'État des Résultats'!N$14</f>
        <v>3.97842100418549E-4</v>
      </c>
      <c r="Q17" s="1069">
        <f>+N17</f>
        <v>32.916666666666664</v>
      </c>
      <c r="R17" s="654">
        <f>Q17/'État des Résultats'!Q$14</f>
        <v>3.6951361157178179E-4</v>
      </c>
      <c r="T17" s="1069">
        <f>+Q17</f>
        <v>32.916666666666664</v>
      </c>
      <c r="U17" s="654">
        <f>T17/'État des Résultats'!T$14</f>
        <v>3.5956146390998746E-4</v>
      </c>
      <c r="W17" s="1069">
        <f>+T17</f>
        <v>32.916666666666664</v>
      </c>
      <c r="X17" s="654">
        <f>W17/'État des Résultats'!W$14</f>
        <v>3.3475113575128054E-4</v>
      </c>
      <c r="Z17" s="1069">
        <f>+W17</f>
        <v>32.916666666666664</v>
      </c>
      <c r="AA17" s="654">
        <f>Z17/'État des Résultats'!Z$14</f>
        <v>3.3039023385873908E-4</v>
      </c>
      <c r="AC17" s="1069">
        <f>+Z17</f>
        <v>32.916666666666664</v>
      </c>
      <c r="AD17" s="654">
        <f>AC17/'État des Résultats'!AC$14</f>
        <v>3.6132229103140256E-4</v>
      </c>
      <c r="AF17" s="1069">
        <f>+AC17</f>
        <v>32.916666666666664</v>
      </c>
      <c r="AG17" s="654">
        <f>AF17/'État des Résultats'!AF$14</f>
        <v>3.4884637563364402E-4</v>
      </c>
      <c r="AI17" s="1069">
        <f>+AF17</f>
        <v>32.916666666666664</v>
      </c>
      <c r="AJ17" s="654">
        <f>AI17/'État des Résultats'!AI$14</f>
        <v>3.7530239634285577E-4</v>
      </c>
      <c r="AL17" s="1069">
        <f>+AI17</f>
        <v>32.916666666666664</v>
      </c>
      <c r="AM17" s="654">
        <f>AL17/'État des Résultats'!AL$14</f>
        <v>3.3770648699792398E-4</v>
      </c>
      <c r="AP17" s="796">
        <f t="shared" si="0"/>
        <v>395.00000000000006</v>
      </c>
      <c r="AQ17" s="656">
        <f>AP17/'État des Résultats'!$AP$14</f>
        <v>3.74575158573924E-4</v>
      </c>
    </row>
    <row r="18" spans="2:47" x14ac:dyDescent="0.15">
      <c r="B18" s="190">
        <v>7830</v>
      </c>
      <c r="C18" s="391" t="s">
        <v>340</v>
      </c>
      <c r="E18" s="1069">
        <v>0</v>
      </c>
      <c r="F18" s="654">
        <f>E18/'État des Résultats'!E$14</f>
        <v>0</v>
      </c>
      <c r="H18" s="1069">
        <v>0</v>
      </c>
      <c r="I18" s="654">
        <f>H18/'État des Résultats'!H$14</f>
        <v>0</v>
      </c>
      <c r="K18" s="1069">
        <v>0</v>
      </c>
      <c r="L18" s="654">
        <f>K18/'État des Résultats'!K$14</f>
        <v>0</v>
      </c>
      <c r="N18" s="1069">
        <v>0</v>
      </c>
      <c r="O18" s="654">
        <f>N18/'État des Résultats'!N$14</f>
        <v>0</v>
      </c>
      <c r="Q18" s="1069">
        <v>0</v>
      </c>
      <c r="R18" s="654">
        <f>Q18/'État des Résultats'!Q$14</f>
        <v>0</v>
      </c>
      <c r="T18" s="1069">
        <v>0</v>
      </c>
      <c r="U18" s="654">
        <f>T18/'État des Résultats'!T$14</f>
        <v>0</v>
      </c>
      <c r="W18" s="1069">
        <v>0</v>
      </c>
      <c r="X18" s="654">
        <f>W18/'État des Résultats'!W$14</f>
        <v>0</v>
      </c>
      <c r="Z18" s="1069">
        <v>0</v>
      </c>
      <c r="AA18" s="654">
        <f>Z18/'État des Résultats'!Z$14</f>
        <v>0</v>
      </c>
      <c r="AC18" s="1069">
        <v>0</v>
      </c>
      <c r="AD18" s="654">
        <f>AC18/'État des Résultats'!AC$14</f>
        <v>0</v>
      </c>
      <c r="AF18" s="1069">
        <v>0</v>
      </c>
      <c r="AG18" s="654">
        <f>AF18/'État des Résultats'!AF$14</f>
        <v>0</v>
      </c>
      <c r="AI18" s="1069">
        <v>0</v>
      </c>
      <c r="AJ18" s="654">
        <f>AI18/'État des Résultats'!AI$14</f>
        <v>0</v>
      </c>
      <c r="AL18" s="1069">
        <v>0</v>
      </c>
      <c r="AM18" s="654">
        <f>AL18/'État des Résultats'!AL$14</f>
        <v>0</v>
      </c>
      <c r="AP18" s="796">
        <f t="shared" si="0"/>
        <v>0</v>
      </c>
      <c r="AQ18" s="656">
        <f>AP18/'État des Résultats'!$AP$14</f>
        <v>0</v>
      </c>
      <c r="AS18" s="209"/>
    </row>
    <row r="19" spans="2:47" x14ac:dyDescent="0.15">
      <c r="B19" s="190">
        <v>7835</v>
      </c>
      <c r="C19" s="391" t="s">
        <v>341</v>
      </c>
      <c r="E19" s="1069">
        <v>150</v>
      </c>
      <c r="F19" s="654">
        <f>E19/'État des Résultats'!E$14</f>
        <v>2.0551698940445744E-3</v>
      </c>
      <c r="H19" s="1069">
        <f>+E19</f>
        <v>150</v>
      </c>
      <c r="I19" s="654">
        <f>H19/'État des Résultats'!H$14</f>
        <v>2.1203161626989269E-3</v>
      </c>
      <c r="K19" s="1069">
        <f>+H19</f>
        <v>150</v>
      </c>
      <c r="L19" s="654">
        <f>K19/'État des Résultats'!K$14</f>
        <v>1.9027685282085435E-3</v>
      </c>
      <c r="N19" s="1069">
        <f>+K19</f>
        <v>150</v>
      </c>
      <c r="O19" s="654">
        <f>N19/'État des Résultats'!N$14</f>
        <v>1.8129513436794639E-3</v>
      </c>
      <c r="Q19" s="1069">
        <f>+N19</f>
        <v>150</v>
      </c>
      <c r="R19" s="654">
        <f>Q19/'État des Résultats'!Q$14</f>
        <v>1.683859495770145E-3</v>
      </c>
      <c r="T19" s="1069">
        <f>+Q19</f>
        <v>150</v>
      </c>
      <c r="U19" s="654">
        <f>T19/'État des Résultats'!T$14</f>
        <v>1.6385079368050064E-3</v>
      </c>
      <c r="W19" s="1069">
        <f>+T19</f>
        <v>150</v>
      </c>
      <c r="X19" s="654">
        <f>W19/'État des Résultats'!W$14</f>
        <v>1.5254482135501392E-3</v>
      </c>
      <c r="Z19" s="1069">
        <f>+W19</f>
        <v>150</v>
      </c>
      <c r="AA19" s="654">
        <f>Z19/'État des Résultats'!Z$14</f>
        <v>1.5055757492296973E-3</v>
      </c>
      <c r="AC19" s="1069">
        <f>+Z19</f>
        <v>150</v>
      </c>
      <c r="AD19" s="654">
        <f>AC19/'État des Résultats'!AC$14</f>
        <v>1.6465319591304423E-3</v>
      </c>
      <c r="AF19" s="1069">
        <f>+AC19</f>
        <v>150</v>
      </c>
      <c r="AG19" s="654">
        <f>AF19/'État des Résultats'!AF$14</f>
        <v>1.5896796864317956E-3</v>
      </c>
      <c r="AI19" s="1069">
        <f>+AF19</f>
        <v>150</v>
      </c>
      <c r="AJ19" s="654">
        <f>AI19/'État des Résultats'!AI$14</f>
        <v>1.7102387681446594E-3</v>
      </c>
      <c r="AL19" s="1069">
        <f>+AI19</f>
        <v>150</v>
      </c>
      <c r="AM19" s="654">
        <f>AL19/'État des Résultats'!AL$14</f>
        <v>1.5389156369525652E-3</v>
      </c>
      <c r="AP19" s="796">
        <f t="shared" si="0"/>
        <v>1800</v>
      </c>
      <c r="AQ19" s="656">
        <f>AP19/'État des Résultats'!$AP$14</f>
        <v>1.7069247732482608E-3</v>
      </c>
    </row>
    <row r="20" spans="2:47" x14ac:dyDescent="0.15">
      <c r="B20" s="190">
        <v>7840</v>
      </c>
      <c r="C20" s="391" t="s">
        <v>342</v>
      </c>
      <c r="E20" s="1069">
        <f>+(0.025*'État des Résultats'!E14)</f>
        <v>1824.666666666667</v>
      </c>
      <c r="F20" s="654">
        <f>E20/'État des Résultats'!E$14</f>
        <v>2.5000000000000001E-2</v>
      </c>
      <c r="H20" s="1069">
        <f>+(0.025*'État des Résultats'!H14)</f>
        <v>1768.604166666667</v>
      </c>
      <c r="I20" s="654">
        <f>H20/'État des Résultats'!H$14</f>
        <v>2.5000000000000001E-2</v>
      </c>
      <c r="K20" s="1069">
        <f>+(0.025*'État des Résultats'!K14)</f>
        <v>1970.8125</v>
      </c>
      <c r="L20" s="654">
        <f>K20/'État des Résultats'!K$14</f>
        <v>2.5000000000000001E-2</v>
      </c>
      <c r="N20" s="1069">
        <f>+(0.025*'État des Résultats'!N14)</f>
        <v>2068.4504375000001</v>
      </c>
      <c r="O20" s="654">
        <f>N20/'État des Résultats'!N$14</f>
        <v>2.5000000000000001E-2</v>
      </c>
      <c r="Q20" s="1069">
        <f>+(0.025*'État des Résultats'!Q14)</f>
        <v>2227.0266666666666</v>
      </c>
      <c r="R20" s="654">
        <f>Q20/'État des Résultats'!Q$14</f>
        <v>2.5000000000000001E-2</v>
      </c>
      <c r="T20" s="1069">
        <f>+(0.025*'État des Résultats'!T14)</f>
        <v>2288.6675833333334</v>
      </c>
      <c r="U20" s="654">
        <f>T20/'État des Résultats'!T$14</f>
        <v>2.4999999999999998E-2</v>
      </c>
      <c r="W20" s="1069">
        <f>+(0.025*'État des Résultats'!W14)</f>
        <v>2458.2938750000008</v>
      </c>
      <c r="X20" s="654">
        <f>W20/'État des Résultats'!W$14</f>
        <v>2.5000000000000001E-2</v>
      </c>
      <c r="Z20" s="1069">
        <f>+(0.025*'État des Résultats'!Z14)</f>
        <v>2490.7415000000001</v>
      </c>
      <c r="AA20" s="654">
        <f>Z20/'État des Résultats'!Z$14</f>
        <v>2.5000000000000001E-2</v>
      </c>
      <c r="AC20" s="1069">
        <f>+(0.025*'État des Résultats'!AC14)</f>
        <v>2277.5142500000002</v>
      </c>
      <c r="AD20" s="654">
        <f>AC20/'État des Résultats'!AC$14</f>
        <v>2.5000000000000001E-2</v>
      </c>
      <c r="AF20" s="1069">
        <f>+(0.025*'État des Résultats'!AF14)</f>
        <v>2358.965791666667</v>
      </c>
      <c r="AG20" s="654">
        <f>AF20/'État des Résultats'!AF$14</f>
        <v>2.4999999999999998E-2</v>
      </c>
      <c r="AI20" s="1069">
        <f>+(0.025*'État des Résultats'!AI14)</f>
        <v>2192.6762916666667</v>
      </c>
      <c r="AJ20" s="654">
        <f>AI20/'État des Résultats'!AI$14</f>
        <v>2.5000000000000001E-2</v>
      </c>
      <c r="AL20" s="1069">
        <f>+(0.025*'État des Résultats'!AL14)</f>
        <v>2436.7807500000004</v>
      </c>
      <c r="AM20" s="654">
        <f>AL20/'État des Résultats'!AL$14</f>
        <v>2.5000000000000001E-2</v>
      </c>
      <c r="AP20" s="796">
        <f t="shared" si="0"/>
        <v>26363.200479166673</v>
      </c>
      <c r="AQ20" s="656">
        <f>AP20/'État des Résultats'!$AP$14</f>
        <v>2.5000000000000008E-2</v>
      </c>
    </row>
    <row r="21" spans="2:47" x14ac:dyDescent="0.15">
      <c r="B21" s="190">
        <v>7845</v>
      </c>
      <c r="C21" s="391" t="s">
        <v>343</v>
      </c>
      <c r="E21" s="1069">
        <v>0</v>
      </c>
      <c r="F21" s="654">
        <f>E21/'État des Résultats'!E$14</f>
        <v>0</v>
      </c>
      <c r="H21" s="1069">
        <v>0</v>
      </c>
      <c r="I21" s="654">
        <f>H21/'État des Résultats'!H$14</f>
        <v>0</v>
      </c>
      <c r="K21" s="1069">
        <v>0</v>
      </c>
      <c r="L21" s="654">
        <f>K21/'État des Résultats'!K$14</f>
        <v>0</v>
      </c>
      <c r="N21" s="1069">
        <v>0</v>
      </c>
      <c r="O21" s="654">
        <f>N21/'État des Résultats'!N$14</f>
        <v>0</v>
      </c>
      <c r="Q21" s="1069">
        <v>0</v>
      </c>
      <c r="R21" s="654">
        <f>Q21/'État des Résultats'!Q$14</f>
        <v>0</v>
      </c>
      <c r="T21" s="1069">
        <v>0</v>
      </c>
      <c r="U21" s="654">
        <f>T21/'État des Résultats'!T$14</f>
        <v>0</v>
      </c>
      <c r="W21" s="1069">
        <v>0</v>
      </c>
      <c r="X21" s="654">
        <f>W21/'État des Résultats'!W$14</f>
        <v>0</v>
      </c>
      <c r="Z21" s="1069">
        <v>0</v>
      </c>
      <c r="AA21" s="654">
        <f>Z21/'État des Résultats'!Z$14</f>
        <v>0</v>
      </c>
      <c r="AC21" s="1069">
        <v>0</v>
      </c>
      <c r="AD21" s="654">
        <f>AC21/'État des Résultats'!AC$14</f>
        <v>0</v>
      </c>
      <c r="AF21" s="1069">
        <v>0</v>
      </c>
      <c r="AG21" s="654">
        <f>AF21/'État des Résultats'!AF$14</f>
        <v>0</v>
      </c>
      <c r="AI21" s="1069">
        <v>0</v>
      </c>
      <c r="AJ21" s="654">
        <f>AI21/'État des Résultats'!AI$14</f>
        <v>0</v>
      </c>
      <c r="AL21" s="1069">
        <v>0</v>
      </c>
      <c r="AM21" s="654">
        <f>AL21/'État des Résultats'!AL$14</f>
        <v>0</v>
      </c>
      <c r="AP21" s="796">
        <f t="shared" si="0"/>
        <v>0</v>
      </c>
      <c r="AQ21" s="656">
        <f>AP21/'État des Résultats'!$AP$14</f>
        <v>0</v>
      </c>
    </row>
    <row r="22" spans="2:47" x14ac:dyDescent="0.15">
      <c r="B22" s="190">
        <v>7850</v>
      </c>
      <c r="C22" s="391" t="s">
        <v>344</v>
      </c>
      <c r="E22" s="1069">
        <v>0</v>
      </c>
      <c r="F22" s="654">
        <f>E22/'État des Résultats'!E$14</f>
        <v>0</v>
      </c>
      <c r="H22" s="1069">
        <v>0</v>
      </c>
      <c r="I22" s="654">
        <f>H22/'État des Résultats'!H$14</f>
        <v>0</v>
      </c>
      <c r="K22" s="1069">
        <v>0</v>
      </c>
      <c r="L22" s="654">
        <f>K22/'État des Résultats'!K$14</f>
        <v>0</v>
      </c>
      <c r="N22" s="1069">
        <v>0</v>
      </c>
      <c r="O22" s="654">
        <f>N22/'État des Résultats'!N$14</f>
        <v>0</v>
      </c>
      <c r="Q22" s="1069">
        <v>0</v>
      </c>
      <c r="R22" s="654">
        <f>Q22/'État des Résultats'!Q$14</f>
        <v>0</v>
      </c>
      <c r="T22" s="1069">
        <v>0</v>
      </c>
      <c r="U22" s="654">
        <f>T22/'État des Résultats'!T$14</f>
        <v>0</v>
      </c>
      <c r="W22" s="1069">
        <v>0</v>
      </c>
      <c r="X22" s="654">
        <f>W22/'État des Résultats'!W$14</f>
        <v>0</v>
      </c>
      <c r="Z22" s="1069">
        <v>0</v>
      </c>
      <c r="AA22" s="654">
        <f>Z22/'État des Résultats'!Z$14</f>
        <v>0</v>
      </c>
      <c r="AC22" s="1069">
        <v>0</v>
      </c>
      <c r="AD22" s="654">
        <f>AC22/'État des Résultats'!AC$14</f>
        <v>0</v>
      </c>
      <c r="AF22" s="1069">
        <v>0</v>
      </c>
      <c r="AG22" s="654">
        <f>AF22/'État des Résultats'!AF$14</f>
        <v>0</v>
      </c>
      <c r="AI22" s="1069">
        <v>0</v>
      </c>
      <c r="AJ22" s="654">
        <f>AI22/'État des Résultats'!AI$14</f>
        <v>0</v>
      </c>
      <c r="AL22" s="1069">
        <v>0</v>
      </c>
      <c r="AM22" s="654">
        <f>AL22/'État des Résultats'!AL$14</f>
        <v>0</v>
      </c>
      <c r="AP22" s="796">
        <f t="shared" si="0"/>
        <v>0</v>
      </c>
      <c r="AQ22" s="656">
        <f>AP22/'État des Résultats'!$AP$14</f>
        <v>0</v>
      </c>
    </row>
    <row r="23" spans="2:47" x14ac:dyDescent="0.15">
      <c r="B23" s="714">
        <v>7855</v>
      </c>
      <c r="C23" s="715" t="s">
        <v>345</v>
      </c>
      <c r="E23" s="1069">
        <f>(3000/12)</f>
        <v>250</v>
      </c>
      <c r="F23" s="654">
        <f>E23/'État des Résultats'!E$14</f>
        <v>3.4252831567409569E-3</v>
      </c>
      <c r="H23" s="1069">
        <f>(3000/12)</f>
        <v>250</v>
      </c>
      <c r="I23" s="654">
        <f>H23/'État des Résultats'!H$14</f>
        <v>3.5338602711648781E-3</v>
      </c>
      <c r="K23" s="1069">
        <f>(3000/12)</f>
        <v>250</v>
      </c>
      <c r="L23" s="654">
        <f>K23/'État des Résultats'!K$14</f>
        <v>3.1712808803475725E-3</v>
      </c>
      <c r="N23" s="1069">
        <f>(3000/12)</f>
        <v>250</v>
      </c>
      <c r="O23" s="654">
        <f>N23/'État des Résultats'!N$14</f>
        <v>3.0215855727991066E-3</v>
      </c>
      <c r="Q23" s="1069">
        <f>(3000/12)</f>
        <v>250</v>
      </c>
      <c r="R23" s="654">
        <f>Q23/'État des Résultats'!Q$14</f>
        <v>2.8064324929502416E-3</v>
      </c>
      <c r="T23" s="1069">
        <f>(3000/12)</f>
        <v>250</v>
      </c>
      <c r="U23" s="654">
        <f>T23/'État des Résultats'!T$14</f>
        <v>2.730846561341677E-3</v>
      </c>
      <c r="W23" s="1069">
        <f>(3000/12)</f>
        <v>250</v>
      </c>
      <c r="X23" s="654">
        <f>W23/'État des Résultats'!W$14</f>
        <v>2.5424136892502319E-3</v>
      </c>
      <c r="Z23" s="1069">
        <f>(3000/12)</f>
        <v>250</v>
      </c>
      <c r="AA23" s="654">
        <f>Z23/'État des Résultats'!Z$14</f>
        <v>2.5092929153828288E-3</v>
      </c>
      <c r="AC23" s="1069">
        <f>(3000/12)</f>
        <v>250</v>
      </c>
      <c r="AD23" s="654">
        <f>AC23/'État des Résultats'!AC$14</f>
        <v>2.7442199318840703E-3</v>
      </c>
      <c r="AF23" s="1069">
        <f>(3000/12)</f>
        <v>250</v>
      </c>
      <c r="AG23" s="654">
        <f>AF23/'État des Résultats'!AF$14</f>
        <v>2.6494661440529927E-3</v>
      </c>
      <c r="AI23" s="1069">
        <f>(3000/12)</f>
        <v>250</v>
      </c>
      <c r="AJ23" s="654">
        <f>AI23/'État des Résultats'!AI$14</f>
        <v>2.8503979469077659E-3</v>
      </c>
      <c r="AL23" s="1069">
        <f>(3000/12)</f>
        <v>250</v>
      </c>
      <c r="AM23" s="654">
        <f>AL23/'État des Résultats'!AL$14</f>
        <v>2.5648593949209419E-3</v>
      </c>
      <c r="AP23" s="796">
        <f t="shared" si="0"/>
        <v>3000</v>
      </c>
      <c r="AQ23" s="656">
        <f>AP23/'État des Résultats'!$AP$14</f>
        <v>2.8448746220804347E-3</v>
      </c>
    </row>
    <row r="24" spans="2:47" x14ac:dyDescent="0.15">
      <c r="B24" s="190">
        <v>7860</v>
      </c>
      <c r="C24" s="391" t="s">
        <v>346</v>
      </c>
      <c r="E24" s="1069">
        <v>0</v>
      </c>
      <c r="F24" s="654">
        <f>E24/'État des Résultats'!E$14</f>
        <v>0</v>
      </c>
      <c r="H24" s="1069">
        <v>0</v>
      </c>
      <c r="I24" s="654">
        <f>H24/'État des Résultats'!H$14</f>
        <v>0</v>
      </c>
      <c r="K24" s="1069">
        <v>0</v>
      </c>
      <c r="L24" s="654">
        <f>K24/'État des Résultats'!K$14</f>
        <v>0</v>
      </c>
      <c r="N24" s="1069">
        <v>0</v>
      </c>
      <c r="O24" s="654">
        <f>N24/'État des Résultats'!N$14</f>
        <v>0</v>
      </c>
      <c r="Q24" s="1069">
        <v>0</v>
      </c>
      <c r="R24" s="654">
        <f>Q24/'État des Résultats'!Q$14</f>
        <v>0</v>
      </c>
      <c r="T24" s="1069">
        <v>0</v>
      </c>
      <c r="U24" s="654">
        <f>T24/'État des Résultats'!T$14</f>
        <v>0</v>
      </c>
      <c r="W24" s="1069">
        <v>0</v>
      </c>
      <c r="X24" s="654">
        <f>W24/'État des Résultats'!W$14</f>
        <v>0</v>
      </c>
      <c r="Z24" s="1069">
        <v>0</v>
      </c>
      <c r="AA24" s="654">
        <f>Z24/'État des Résultats'!Z$14</f>
        <v>0</v>
      </c>
      <c r="AC24" s="1069">
        <v>0</v>
      </c>
      <c r="AD24" s="654">
        <f>AC24/'État des Résultats'!AC$14</f>
        <v>0</v>
      </c>
      <c r="AF24" s="1069">
        <v>0</v>
      </c>
      <c r="AG24" s="654">
        <f>AF24/'État des Résultats'!AF$14</f>
        <v>0</v>
      </c>
      <c r="AI24" s="1069">
        <v>0</v>
      </c>
      <c r="AJ24" s="654">
        <f>AI24/'État des Résultats'!AI$14</f>
        <v>0</v>
      </c>
      <c r="AL24" s="1069">
        <v>0</v>
      </c>
      <c r="AM24" s="654">
        <f>AL24/'État des Résultats'!AL$14</f>
        <v>0</v>
      </c>
      <c r="AP24" s="796">
        <f t="shared" si="0"/>
        <v>0</v>
      </c>
      <c r="AQ24" s="656">
        <f>AP24/'État des Résultats'!$AP$14</f>
        <v>0</v>
      </c>
    </row>
    <row r="25" spans="2:47" x14ac:dyDescent="0.15">
      <c r="B25" s="190">
        <v>7865</v>
      </c>
      <c r="C25" s="391" t="s">
        <v>347</v>
      </c>
      <c r="E25" s="1069">
        <v>0</v>
      </c>
      <c r="F25" s="654">
        <f>E25/'État des Résultats'!E$14</f>
        <v>0</v>
      </c>
      <c r="H25" s="1069">
        <v>0</v>
      </c>
      <c r="I25" s="654">
        <f>H25/'État des Résultats'!H$14</f>
        <v>0</v>
      </c>
      <c r="K25" s="1069">
        <v>0</v>
      </c>
      <c r="L25" s="654">
        <f>K25/'État des Résultats'!K$14</f>
        <v>0</v>
      </c>
      <c r="N25" s="1069">
        <v>0</v>
      </c>
      <c r="O25" s="654">
        <f>N25/'État des Résultats'!N$14</f>
        <v>0</v>
      </c>
      <c r="Q25" s="1069">
        <v>0</v>
      </c>
      <c r="R25" s="654">
        <f>Q25/'État des Résultats'!Q$14</f>
        <v>0</v>
      </c>
      <c r="T25" s="1069">
        <v>0</v>
      </c>
      <c r="U25" s="654">
        <f>T25/'État des Résultats'!T$14</f>
        <v>0</v>
      </c>
      <c r="W25" s="1069">
        <v>0</v>
      </c>
      <c r="X25" s="654">
        <f>W25/'État des Résultats'!W$14</f>
        <v>0</v>
      </c>
      <c r="Z25" s="1069">
        <v>0</v>
      </c>
      <c r="AA25" s="654">
        <f>Z25/'État des Résultats'!Z$14</f>
        <v>0</v>
      </c>
      <c r="AC25" s="1069">
        <v>0</v>
      </c>
      <c r="AD25" s="654">
        <f>AC25/'État des Résultats'!AC$14</f>
        <v>0</v>
      </c>
      <c r="AF25" s="1069">
        <v>0</v>
      </c>
      <c r="AG25" s="654">
        <f>AF25/'État des Résultats'!AF$14</f>
        <v>0</v>
      </c>
      <c r="AI25" s="1069">
        <v>0</v>
      </c>
      <c r="AJ25" s="654">
        <f>AI25/'État des Résultats'!AI$14</f>
        <v>0</v>
      </c>
      <c r="AL25" s="1069">
        <v>0</v>
      </c>
      <c r="AM25" s="654">
        <f>AL25/'État des Résultats'!AL$14</f>
        <v>0</v>
      </c>
      <c r="AP25" s="796">
        <f t="shared" si="0"/>
        <v>0</v>
      </c>
      <c r="AQ25" s="656">
        <f>AP25/'État des Résultats'!$AP$14</f>
        <v>0</v>
      </c>
    </row>
    <row r="26" spans="2:47" x14ac:dyDescent="0.15">
      <c r="B26" s="190">
        <v>7880</v>
      </c>
      <c r="C26" s="391" t="s">
        <v>348</v>
      </c>
      <c r="E26" s="1069">
        <v>0</v>
      </c>
      <c r="F26" s="654">
        <f>E26/'État des Résultats'!E$14</f>
        <v>0</v>
      </c>
      <c r="H26" s="1069">
        <v>0</v>
      </c>
      <c r="I26" s="654">
        <f>H26/'État des Résultats'!H$14</f>
        <v>0</v>
      </c>
      <c r="K26" s="1069">
        <v>0</v>
      </c>
      <c r="L26" s="654">
        <f>K26/'État des Résultats'!K$14</f>
        <v>0</v>
      </c>
      <c r="N26" s="1069">
        <v>0</v>
      </c>
      <c r="O26" s="654">
        <f>N26/'État des Résultats'!N$14</f>
        <v>0</v>
      </c>
      <c r="Q26" s="1069">
        <v>0</v>
      </c>
      <c r="R26" s="654">
        <f>Q26/'État des Résultats'!Q$14</f>
        <v>0</v>
      </c>
      <c r="T26" s="1069">
        <v>0</v>
      </c>
      <c r="U26" s="654">
        <f>T26/'État des Résultats'!T$14</f>
        <v>0</v>
      </c>
      <c r="W26" s="1069">
        <v>0</v>
      </c>
      <c r="X26" s="654">
        <f>W26/'État des Résultats'!W$14</f>
        <v>0</v>
      </c>
      <c r="Z26" s="1069">
        <v>0</v>
      </c>
      <c r="AA26" s="654">
        <f>Z26/'État des Résultats'!Z$14</f>
        <v>0</v>
      </c>
      <c r="AC26" s="1069">
        <v>0</v>
      </c>
      <c r="AD26" s="654">
        <f>AC26/'État des Résultats'!AC$14</f>
        <v>0</v>
      </c>
      <c r="AF26" s="1069">
        <v>0</v>
      </c>
      <c r="AG26" s="654">
        <f>AF26/'État des Résultats'!AF$14</f>
        <v>0</v>
      </c>
      <c r="AI26" s="1069">
        <v>0</v>
      </c>
      <c r="AJ26" s="654">
        <f>AI26/'État des Résultats'!AI$14</f>
        <v>0</v>
      </c>
      <c r="AL26" s="1069">
        <v>0</v>
      </c>
      <c r="AM26" s="654">
        <f>AL26/'État des Résultats'!AL$14</f>
        <v>0</v>
      </c>
      <c r="AP26" s="796">
        <f t="shared" si="0"/>
        <v>0</v>
      </c>
      <c r="AQ26" s="656">
        <f>AP26/'État des Résultats'!$AP$14</f>
        <v>0</v>
      </c>
    </row>
    <row r="27" spans="2:47" x14ac:dyDescent="0.15">
      <c r="B27" s="190">
        <v>7899</v>
      </c>
      <c r="C27" s="391" t="s">
        <v>215</v>
      </c>
      <c r="E27" s="1069">
        <v>0</v>
      </c>
      <c r="F27" s="654">
        <f>E27/'État des Résultats'!E$14</f>
        <v>0</v>
      </c>
      <c r="H27" s="1069">
        <v>0</v>
      </c>
      <c r="I27" s="654">
        <f>H27/'État des Résultats'!H$14</f>
        <v>0</v>
      </c>
      <c r="K27" s="1069">
        <v>0</v>
      </c>
      <c r="L27" s="654">
        <f>K27/'État des Résultats'!K$14</f>
        <v>0</v>
      </c>
      <c r="N27" s="1069">
        <v>0</v>
      </c>
      <c r="O27" s="654">
        <f>N27/'État des Résultats'!N$14</f>
        <v>0</v>
      </c>
      <c r="Q27" s="1069">
        <v>0</v>
      </c>
      <c r="R27" s="654">
        <f>Q27/'État des Résultats'!Q$14</f>
        <v>0</v>
      </c>
      <c r="T27" s="1069">
        <v>0</v>
      </c>
      <c r="U27" s="654">
        <f>T27/'État des Résultats'!T$14</f>
        <v>0</v>
      </c>
      <c r="W27" s="1069">
        <v>0</v>
      </c>
      <c r="X27" s="654">
        <f>W27/'État des Résultats'!W$14</f>
        <v>0</v>
      </c>
      <c r="Z27" s="1069">
        <v>0</v>
      </c>
      <c r="AA27" s="654">
        <f>Z27/'État des Résultats'!Z$14</f>
        <v>0</v>
      </c>
      <c r="AC27" s="1069">
        <v>0</v>
      </c>
      <c r="AD27" s="654">
        <f>AC27/'État des Résultats'!AC$14</f>
        <v>0</v>
      </c>
      <c r="AF27" s="1069">
        <v>0</v>
      </c>
      <c r="AG27" s="654">
        <f>AF27/'État des Résultats'!AF$14</f>
        <v>0</v>
      </c>
      <c r="AI27" s="1069">
        <v>0</v>
      </c>
      <c r="AJ27" s="654">
        <f>AI27/'État des Résultats'!AI$14</f>
        <v>0</v>
      </c>
      <c r="AL27" s="1069">
        <v>0</v>
      </c>
      <c r="AM27" s="654">
        <f>AL27/'État des Résultats'!AL$14</f>
        <v>0</v>
      </c>
      <c r="AP27" s="796">
        <f t="shared" si="0"/>
        <v>0</v>
      </c>
      <c r="AQ27" s="656">
        <f>AP27/'État des Résultats'!$AP$14</f>
        <v>0</v>
      </c>
    </row>
    <row r="28" spans="2:47" ht="14" thickBot="1" x14ac:dyDescent="0.2">
      <c r="B28" s="653"/>
      <c r="C28" s="391"/>
      <c r="E28" s="797"/>
      <c r="F28" s="687"/>
      <c r="H28" s="797"/>
      <c r="I28" s="687"/>
      <c r="K28" s="797"/>
      <c r="L28" s="687"/>
      <c r="N28" s="797"/>
      <c r="O28" s="687"/>
      <c r="Q28" s="797"/>
      <c r="R28" s="687"/>
      <c r="T28" s="797"/>
      <c r="U28" s="687"/>
      <c r="W28" s="797"/>
      <c r="X28" s="687"/>
      <c r="Z28" s="797"/>
      <c r="AA28" s="687"/>
      <c r="AC28" s="797"/>
      <c r="AD28" s="687"/>
      <c r="AF28" s="797"/>
      <c r="AG28" s="687"/>
      <c r="AI28" s="797"/>
      <c r="AJ28" s="687"/>
      <c r="AL28" s="797"/>
      <c r="AM28" s="687"/>
      <c r="AP28" s="796"/>
      <c r="AQ28" s="688"/>
    </row>
    <row r="29" spans="2:47" ht="15" thickTop="1" thickBot="1" x14ac:dyDescent="0.2">
      <c r="B29" s="469">
        <v>7800</v>
      </c>
      <c r="C29" s="470" t="s">
        <v>349</v>
      </c>
      <c r="D29" s="213"/>
      <c r="E29" s="795">
        <f>SUM(E13:E27)</f>
        <v>2399.916666666667</v>
      </c>
      <c r="F29" s="662">
        <f>SUM(F13:F27)</f>
        <v>3.2881576543660945E-2</v>
      </c>
      <c r="G29" s="213"/>
      <c r="H29" s="795">
        <f>SUM(H13:H27)</f>
        <v>2343.854166666667</v>
      </c>
      <c r="I29" s="662">
        <f>SUM(I13:I27)</f>
        <v>3.3131412483950386E-2</v>
      </c>
      <c r="J29" s="213"/>
      <c r="K29" s="795">
        <f>SUM(K13:K27)</f>
        <v>2546.0625</v>
      </c>
      <c r="L29" s="662">
        <f>SUM(L13:L27)</f>
        <v>3.2297117305679766E-2</v>
      </c>
      <c r="M29" s="213"/>
      <c r="N29" s="795">
        <f>SUM(N13:N27)</f>
        <v>2643.7004375000001</v>
      </c>
      <c r="O29" s="662">
        <f>SUM(O13:O27)</f>
        <v>3.1952668403010746E-2</v>
      </c>
      <c r="P29" s="213"/>
      <c r="Q29" s="795">
        <f>SUM(Q13:Q27)</f>
        <v>2802.2766666666666</v>
      </c>
      <c r="R29" s="662">
        <f>SUM(R13:R27)</f>
        <v>3.1457601166278507E-2</v>
      </c>
      <c r="S29" s="213"/>
      <c r="T29" s="795">
        <f>SUM(T13:T27)</f>
        <v>2863.9175833333334</v>
      </c>
      <c r="U29" s="662">
        <f>SUM(U13:U27)</f>
        <v>3.1283677937647199E-2</v>
      </c>
      <c r="V29" s="213"/>
      <c r="W29" s="795">
        <f>SUM(W13:W27)</f>
        <v>3033.5438750000008</v>
      </c>
      <c r="X29" s="662">
        <f>SUM(X13:X27)</f>
        <v>3.0850093898964787E-2</v>
      </c>
      <c r="Y29" s="213"/>
      <c r="Z29" s="795">
        <f>SUM(Z13:Z27)</f>
        <v>3065.9915000000001</v>
      </c>
      <c r="AA29" s="662">
        <f>SUM(AA13:AA27)</f>
        <v>3.0773882998295889E-2</v>
      </c>
      <c r="AB29" s="213"/>
      <c r="AC29" s="795">
        <f>SUM(AC13:AC27)</f>
        <v>2852.7642500000002</v>
      </c>
      <c r="AD29" s="662">
        <f>SUM(AD13:AD27)</f>
        <v>3.1314450063265248E-2</v>
      </c>
      <c r="AE29" s="213"/>
      <c r="AF29" s="795">
        <f>SUM(AF13:AF27)</f>
        <v>2934.215791666667</v>
      </c>
      <c r="AG29" s="662">
        <f>SUM(AG13:AG27)</f>
        <v>3.1096421597465933E-2</v>
      </c>
      <c r="AH29" s="213"/>
      <c r="AI29" s="795">
        <f>SUM(AI13:AI27)</f>
        <v>2767.9262916666667</v>
      </c>
      <c r="AJ29" s="662">
        <f>SUM(AJ13:AJ27)</f>
        <v>3.1558765675834773E-2</v>
      </c>
      <c r="AK29" s="213"/>
      <c r="AL29" s="795">
        <f>SUM(AL13:AL27)</f>
        <v>3012.0307500000004</v>
      </c>
      <c r="AM29" s="662">
        <f>SUM(AM13:AM27)</f>
        <v>3.090174146771309E-2</v>
      </c>
      <c r="AN29" s="213"/>
      <c r="AO29" s="213"/>
      <c r="AP29" s="795">
        <f>SUM(AP13:AP27)</f>
        <v>33266.20047916667</v>
      </c>
      <c r="AQ29" s="662">
        <f>SUM(AQ13:AQ27)</f>
        <v>3.1546056505407087E-2</v>
      </c>
      <c r="AR29" s="213"/>
      <c r="AS29" s="213"/>
      <c r="AT29" s="213"/>
      <c r="AU29" s="251"/>
    </row>
    <row r="30" spans="2:47" ht="14" thickTop="1" x14ac:dyDescent="0.15">
      <c r="L30" s="314"/>
      <c r="O30" s="314"/>
      <c r="R30" s="314"/>
      <c r="U30" s="314"/>
      <c r="X30" s="314"/>
      <c r="AA30" s="314"/>
      <c r="AD30" s="314"/>
      <c r="AG30" s="314"/>
      <c r="AJ30" s="314"/>
      <c r="AM30" s="314"/>
      <c r="AQ30" s="314"/>
    </row>
    <row r="31" spans="2:47" x14ac:dyDescent="0.15">
      <c r="R31" s="314"/>
      <c r="U31" s="314"/>
      <c r="X31" s="314"/>
      <c r="AD31" s="314"/>
      <c r="AG31" s="314"/>
      <c r="AJ31" s="314"/>
      <c r="AM31" s="314"/>
    </row>
    <row r="32" spans="2:47" x14ac:dyDescent="0.15">
      <c r="U32" s="314"/>
      <c r="AG32" s="314"/>
      <c r="AJ32" s="314"/>
      <c r="AM32" s="314"/>
    </row>
    <row r="33" spans="3:69" x14ac:dyDescent="0.15">
      <c r="C33" s="161" t="s">
        <v>2</v>
      </c>
      <c r="E33" s="161" t="s">
        <v>2</v>
      </c>
      <c r="G33" s="161" t="s">
        <v>2</v>
      </c>
      <c r="H33" s="161" t="s">
        <v>2</v>
      </c>
      <c r="U33" s="314"/>
      <c r="AG33" s="314"/>
      <c r="AJ33" s="314"/>
      <c r="AM33" s="314"/>
    </row>
    <row r="34" spans="3:69" x14ac:dyDescent="0.15">
      <c r="H34" s="161" t="s">
        <v>2</v>
      </c>
      <c r="AG34" s="314"/>
      <c r="AJ34" s="314"/>
      <c r="AM34" s="314"/>
    </row>
    <row r="35" spans="3:69" x14ac:dyDescent="0.15">
      <c r="H35" s="161" t="s">
        <v>2</v>
      </c>
      <c r="AM35" s="314"/>
    </row>
    <row r="36" spans="3:69" x14ac:dyDescent="0.15">
      <c r="H36" s="161" t="s">
        <v>2</v>
      </c>
      <c r="BB36" s="170"/>
      <c r="BC36" s="170"/>
      <c r="BD36" s="170"/>
      <c r="BE36" s="170"/>
      <c r="BF36" s="170"/>
      <c r="BG36" s="170"/>
      <c r="BH36" s="170"/>
      <c r="BI36" s="170"/>
      <c r="BJ36" s="170"/>
      <c r="BK36" s="170"/>
      <c r="BL36" s="170"/>
      <c r="BM36" s="170"/>
      <c r="BN36" s="170"/>
      <c r="BO36" s="170"/>
      <c r="BP36" s="170"/>
      <c r="BQ36" s="170"/>
    </row>
    <row r="37" spans="3:69" x14ac:dyDescent="0.15">
      <c r="H37" s="161" t="s">
        <v>2</v>
      </c>
    </row>
    <row r="38" spans="3:69" x14ac:dyDescent="0.15">
      <c r="H38" s="161" t="s">
        <v>2</v>
      </c>
    </row>
    <row r="48" spans="3:69" x14ac:dyDescent="0.15">
      <c r="H48" s="663"/>
    </row>
  </sheetData>
  <sheetProtection algorithmName="SHA-512" hashValue="yEwiqnuOQnZIm7GEzUhdCP9BCyXKzBpMpbAX2OmeAsC1b1KdRFzLeIvA8CQFSzgoDcGupt3kdeJ6wxppmfKdmg==" saltValue="FbD/vccU8GbDNKGz67MIrw==" spinCount="100000" sheet="1" objects="1" scenarios="1"/>
  <mergeCells count="9">
    <mergeCell ref="B9:C9"/>
    <mergeCell ref="AS2:AS8"/>
    <mergeCell ref="BC2:BC8"/>
    <mergeCell ref="B2:C2"/>
    <mergeCell ref="B3:C3"/>
    <mergeCell ref="B4:C4"/>
    <mergeCell ref="B6:C6"/>
    <mergeCell ref="B7:C7"/>
    <mergeCell ref="B8:C8"/>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ignoredErrors>
    <ignoredError sqref="E20 H19:H20 K19:K20 N19:N20 Q19:Q20 T19:T20 W19:W20 Z19:Z20 AC19:AC20 AF19:AF20 AI19:AI20 AL19:AL20 E16 H16:H17 K16:K17 N16:N17 Q16:Q17 T16:T17 W16:W17 Z16:Z17 AC16:AC17 AF16:AF17 AI16:AI17 AL16:AL17 E23 H23 K23 N23 Q23 T23 W23 Z23 AC23 AF23 AI23 AL23 H13 K13 N13 Q13 T13 W13 Z13 AC13 AF13 AI13 AL13" unlockedFormula="1"/>
  </ignoredErrors>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B8FCD-653E-CF48-8616-2F0D723D926D}">
  <sheetPr>
    <tabColor theme="1"/>
    <pageSetUpPr fitToPage="1"/>
  </sheetPr>
  <dimension ref="B1:BQ50"/>
  <sheetViews>
    <sheetView zoomScale="113" zoomScaleNormal="113" zoomScalePageLayoutView="125" workbookViewId="0">
      <selection activeCell="L13" sqref="L13"/>
    </sheetView>
  </sheetViews>
  <sheetFormatPr baseColWidth="10" defaultRowHeight="13" x14ac:dyDescent="0.15"/>
  <cols>
    <col min="1" max="1" width="2.1640625" style="161" customWidth="1"/>
    <col min="2" max="2" width="5.1640625" style="161" customWidth="1"/>
    <col min="3" max="3" width="4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832031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1430" t="str">
        <f>'État des Résultats'!C2</f>
        <v>Les Multiples Plaisirs gourmands</v>
      </c>
      <c r="C2" s="1431"/>
      <c r="AS2" s="1388" t="s">
        <v>42</v>
      </c>
      <c r="AT2" s="366"/>
      <c r="AU2" s="366"/>
      <c r="AV2" s="366"/>
      <c r="AW2" s="366"/>
      <c r="AX2" s="366"/>
      <c r="AY2" s="366"/>
      <c r="AZ2" s="366"/>
      <c r="BA2" s="366"/>
      <c r="BB2" s="366"/>
      <c r="BC2" s="1391" t="s">
        <v>43</v>
      </c>
    </row>
    <row r="3" spans="2:56" ht="20" customHeight="1" x14ac:dyDescent="0.2">
      <c r="B3" s="1432" t="str">
        <f>'État des Résultats'!C3</f>
        <v xml:space="preserve">États des résultats </v>
      </c>
      <c r="C3" s="1433"/>
      <c r="AS3" s="1389"/>
      <c r="AT3" s="367"/>
      <c r="AU3" s="367"/>
      <c r="AV3" s="367"/>
      <c r="AW3" s="367"/>
      <c r="AX3" s="367"/>
      <c r="AY3" s="367"/>
      <c r="AZ3" s="367"/>
      <c r="BA3" s="367"/>
      <c r="BB3" s="367"/>
      <c r="BC3" s="1392"/>
    </row>
    <row r="4" spans="2:56" ht="20" customHeight="1" thickBot="1" x14ac:dyDescent="0.3">
      <c r="B4" s="1434" t="str">
        <f>'État des Résultats'!C4</f>
        <v>Pour la période du 1er janvier 2021 au 31 décembre 2021</v>
      </c>
      <c r="C4" s="1435"/>
      <c r="AS4" s="1389"/>
      <c r="AT4" s="368" t="str">
        <f>'Formule pour le calcul D'!BA103</f>
        <v>Coût annuel</v>
      </c>
      <c r="AU4" s="368" t="s">
        <v>44</v>
      </c>
      <c r="AV4" s="368" t="str">
        <f>'Formule pour le calcul D'!BC103</f>
        <v>Achalandage annuelle</v>
      </c>
      <c r="AW4" s="368" t="s">
        <v>45</v>
      </c>
      <c r="AX4" s="368" t="s">
        <v>46</v>
      </c>
      <c r="AY4" s="368" t="str">
        <f>'Formule pour le calcul D'!BF103</f>
        <v>Um/A</v>
      </c>
      <c r="AZ4" s="368" t="s">
        <v>45</v>
      </c>
      <c r="BA4" s="368" t="str">
        <f>'Formule pour le calcul D'!BH103</f>
        <v>CmO</v>
      </c>
      <c r="BB4" s="368" t="s">
        <v>49</v>
      </c>
      <c r="BC4" s="1392"/>
    </row>
    <row r="5" spans="2:56" ht="21" thickTop="1" thickBot="1" x14ac:dyDescent="0.3">
      <c r="AS5" s="1389"/>
      <c r="AT5" s="369" t="s">
        <v>2</v>
      </c>
      <c r="AU5" s="370"/>
      <c r="AV5" s="369"/>
      <c r="AW5" s="370"/>
      <c r="AX5" s="370"/>
      <c r="AY5" s="370"/>
      <c r="AZ5" s="370"/>
      <c r="BA5" s="370"/>
      <c r="BB5" s="370"/>
      <c r="BC5" s="1392"/>
    </row>
    <row r="6" spans="2:56" ht="27" thickTop="1" x14ac:dyDescent="0.3">
      <c r="B6" s="1406" t="str">
        <f>'État des Résultats'!C6</f>
        <v>Nb de places</v>
      </c>
      <c r="C6" s="1448"/>
      <c r="E6" s="637" t="str">
        <f>'Coût marchandises vendues'!D6</f>
        <v>Coût / place / jour</v>
      </c>
      <c r="F6" s="638">
        <f>+E31/$B$7/'Calendrier 2021'!D8</f>
        <v>1.3224372759856633</v>
      </c>
      <c r="G6" s="170"/>
      <c r="H6" s="637" t="str">
        <f>+E6</f>
        <v>Coût / place / jour</v>
      </c>
      <c r="I6" s="638">
        <f>+H31/$B$7/'Calendrier 2021'!E8</f>
        <v>1.4374305555555555</v>
      </c>
      <c r="J6" s="170"/>
      <c r="K6" s="637" t="str">
        <f>+H6</f>
        <v>Coût / place / jour</v>
      </c>
      <c r="L6" s="638">
        <f>+K31/$B$7/'Calendrier 2021'!F8</f>
        <v>1.3852956989247311</v>
      </c>
      <c r="M6" s="170"/>
      <c r="N6" s="637" t="str">
        <f>+K6</f>
        <v>Coût / place / jour</v>
      </c>
      <c r="O6" s="638">
        <f>+N31/$B$7/'Calendrier 2021'!G8</f>
        <v>1.4748668611111111</v>
      </c>
      <c r="P6" s="422"/>
      <c r="Q6" s="637" t="str">
        <f>+N6</f>
        <v>Coût / place / jour</v>
      </c>
      <c r="R6" s="638">
        <f>+Q31/$B$7/'Calendrier 2021'!H8</f>
        <v>1.4954953405017921</v>
      </c>
      <c r="S6" s="422"/>
      <c r="T6" s="637" t="str">
        <f>+Q6</f>
        <v>Coût / place / jour</v>
      </c>
      <c r="U6" s="638">
        <f>+T31/$B$7/'Calendrier 2021'!I8</f>
        <v>1.5727411481481481</v>
      </c>
      <c r="V6" s="170"/>
      <c r="W6" s="637" t="str">
        <f>+T6</f>
        <v>Coût / place / jour</v>
      </c>
      <c r="X6" s="638">
        <f>+W31/$B$7/'Calendrier 2021'!J8</f>
        <v>1.594965107526882</v>
      </c>
      <c r="Y6" s="170"/>
      <c r="Z6" s="637" t="str">
        <f>+W6</f>
        <v>Coût / place / jour</v>
      </c>
      <c r="AA6" s="638">
        <f>+Z31/$B$7/'Calendrier 2021'!K8</f>
        <v>1.6089210752688174</v>
      </c>
      <c r="AB6" s="170"/>
      <c r="AC6" s="637" t="str">
        <f>+Z6</f>
        <v>Coût / place / jour</v>
      </c>
      <c r="AD6" s="638">
        <f>+AC31/$B$7/'Calendrier 2021'!L8</f>
        <v>1.5677841111111115</v>
      </c>
      <c r="AE6" s="170"/>
      <c r="AF6" s="637" t="str">
        <f>+AC6</f>
        <v>Coût / place / jour</v>
      </c>
      <c r="AG6" s="638">
        <f>+AF31/$B$7/'Calendrier 2021'!M8</f>
        <v>1.5522433512544804</v>
      </c>
      <c r="AH6" s="170"/>
      <c r="AI6" s="637" t="str">
        <f>+AF6</f>
        <v>Coût / place / jour</v>
      </c>
      <c r="AJ6" s="638">
        <f>+AI31/$B$7/'Calendrier 2021'!N8</f>
        <v>1.5300783518518519</v>
      </c>
      <c r="AK6" s="170"/>
      <c r="AL6" s="637" t="str">
        <f>+AI6</f>
        <v>Coût / place / jour</v>
      </c>
      <c r="AM6" s="638">
        <f>+AL31/$B$7/'Calendrier 2021'!O8</f>
        <v>1.5857121505376344</v>
      </c>
      <c r="AN6" s="170"/>
      <c r="AO6" s="170"/>
      <c r="AP6" s="639" t="str">
        <f>+AL6</f>
        <v>Coût / place / jour</v>
      </c>
      <c r="AQ6" s="640">
        <f>+AP31/$B$7/'% Occupation'!P9</f>
        <v>1.51098449238965</v>
      </c>
      <c r="AS6" s="1389"/>
      <c r="AT6" s="629" t="str">
        <f>'Formule pour le calcul D'!BA105</f>
        <v xml:space="preserve">C </v>
      </c>
      <c r="AU6" s="372"/>
      <c r="AV6" s="371" t="str">
        <f>'Formule pour le calcul D'!BC105</f>
        <v>A</v>
      </c>
      <c r="AW6" s="372"/>
      <c r="AX6" s="372"/>
      <c r="AY6" s="371" t="str">
        <f>AY4</f>
        <v>Um/A</v>
      </c>
      <c r="AZ6" s="372"/>
      <c r="BA6" s="371" t="str">
        <f>BA4</f>
        <v>CmO</v>
      </c>
      <c r="BB6" s="372"/>
      <c r="BC6" s="1392"/>
    </row>
    <row r="7" spans="2:56" ht="21" x14ac:dyDescent="0.25">
      <c r="B7" s="1438">
        <f>'Coût marchandises vendues'!B7</f>
        <v>30</v>
      </c>
      <c r="C7" s="1437"/>
      <c r="E7" s="424">
        <f>+E31/$AP31</f>
        <v>7.4333384047863479E-2</v>
      </c>
      <c r="F7" s="641"/>
      <c r="H7" s="424">
        <f>+H31/$AP31</f>
        <v>7.2978012622283456E-2</v>
      </c>
      <c r="I7" s="641"/>
      <c r="K7" s="424">
        <f>+K31/$AP31</f>
        <v>7.786661725129855E-2</v>
      </c>
      <c r="L7" s="425"/>
      <c r="N7" s="424">
        <f>+N31/$AP31</f>
        <v>8.0227119735848243E-2</v>
      </c>
      <c r="O7" s="425"/>
      <c r="P7" s="642"/>
      <c r="Q7" s="424">
        <f>+Q31/$AP31</f>
        <v>8.406087117020683E-2</v>
      </c>
      <c r="R7" s="425"/>
      <c r="S7" s="642"/>
      <c r="T7" s="424">
        <f>+T31/$AP31</f>
        <v>8.5551106837481003E-2</v>
      </c>
      <c r="U7" s="425"/>
      <c r="W7" s="424">
        <f>+W31/$AP31</f>
        <v>8.9652005455132758E-2</v>
      </c>
      <c r="X7" s="425"/>
      <c r="Z7" s="424">
        <f>+Z31/$AP31</f>
        <v>9.0436461798551901E-2</v>
      </c>
      <c r="AA7" s="425"/>
      <c r="AC7" s="424">
        <f>+AC31/$AP31</f>
        <v>8.5281462970368968E-2</v>
      </c>
      <c r="AD7" s="425"/>
      <c r="AF7" s="424">
        <f>+AF31/$AP31</f>
        <v>8.7250641871496101E-2</v>
      </c>
      <c r="AG7" s="425"/>
      <c r="AI7" s="424">
        <f>+AI31/$AP31</f>
        <v>8.3230413792584376E-2</v>
      </c>
      <c r="AJ7" s="425"/>
      <c r="AL7" s="424">
        <f>+AL31/$AP31</f>
        <v>8.9131902446884265E-2</v>
      </c>
      <c r="AM7" s="425"/>
      <c r="AP7" s="643">
        <f>+AP31/$AP31</f>
        <v>1</v>
      </c>
      <c r="AQ7" s="644" t="s">
        <v>136</v>
      </c>
      <c r="AS7" s="1389"/>
      <c r="AT7" s="630">
        <f>AP31</f>
        <v>16545.280191666669</v>
      </c>
      <c r="AU7" s="368" t="s">
        <v>44</v>
      </c>
      <c r="AV7" s="631">
        <f>'Formule pour le calcul D'!G114</f>
        <v>52000</v>
      </c>
      <c r="AW7" s="368" t="s">
        <v>45</v>
      </c>
      <c r="AX7" s="368" t="s">
        <v>46</v>
      </c>
      <c r="AY7" s="632">
        <f>'Formule pour le calcul D'!J106</f>
        <v>3.1499999999999995</v>
      </c>
      <c r="AZ7" s="368" t="s">
        <v>45</v>
      </c>
      <c r="BA7" s="633">
        <f>AT7/AV7/AY7</f>
        <v>0.1010090365791616</v>
      </c>
      <c r="BB7" s="368" t="s">
        <v>49</v>
      </c>
      <c r="BC7" s="1392"/>
    </row>
    <row r="8" spans="2:56" ht="17" thickBot="1" x14ac:dyDescent="0.25">
      <c r="B8" s="1410" t="s">
        <v>334</v>
      </c>
      <c r="C8" s="1437"/>
      <c r="E8" s="646" t="str">
        <f>'État des Résultats'!E8</f>
        <v>Pér.01</v>
      </c>
      <c r="F8" s="717" t="str">
        <f>'État des Résultats'!AD8</f>
        <v>(%)</v>
      </c>
      <c r="G8" s="382"/>
      <c r="H8" s="646" t="str">
        <f>'État des Résultats'!H8</f>
        <v>Pér.02</v>
      </c>
      <c r="I8" s="717" t="str">
        <f>F8</f>
        <v>(%)</v>
      </c>
      <c r="J8" s="382"/>
      <c r="K8" s="646" t="str">
        <f>'État des Résultats'!K8</f>
        <v>Pér.03</v>
      </c>
      <c r="L8" s="717" t="str">
        <f>I8</f>
        <v>(%)</v>
      </c>
      <c r="M8" s="382"/>
      <c r="N8" s="646" t="str">
        <f>'État des Résultats'!N8</f>
        <v>Pér.04</v>
      </c>
      <c r="O8" s="717" t="str">
        <f>L8</f>
        <v>(%)</v>
      </c>
      <c r="P8" s="426"/>
      <c r="Q8" s="646" t="str">
        <f>'État des Résultats'!Q8</f>
        <v>Pér.05</v>
      </c>
      <c r="R8" s="717" t="str">
        <f>O8</f>
        <v>(%)</v>
      </c>
      <c r="S8" s="426"/>
      <c r="T8" s="646" t="str">
        <f>'État des Résultats'!T8</f>
        <v>Pér.06</v>
      </c>
      <c r="U8" s="717" t="str">
        <f>R8</f>
        <v>(%)</v>
      </c>
      <c r="V8" s="382"/>
      <c r="W8" s="646" t="str">
        <f>'État des Résultats'!W8</f>
        <v>Pér.07</v>
      </c>
      <c r="X8" s="717" t="str">
        <f>U8</f>
        <v>(%)</v>
      </c>
      <c r="Y8" s="382"/>
      <c r="Z8" s="646" t="str">
        <f>'État des Résultats'!Z8</f>
        <v>Pér.08</v>
      </c>
      <c r="AA8" s="717" t="str">
        <f>X8</f>
        <v>(%)</v>
      </c>
      <c r="AB8" s="382"/>
      <c r="AC8" s="646" t="str">
        <f>'État des Résultats'!AC8</f>
        <v>Pér.09</v>
      </c>
      <c r="AD8" s="717" t="str">
        <f>AA8</f>
        <v>(%)</v>
      </c>
      <c r="AE8" s="382"/>
      <c r="AF8" s="646" t="str">
        <f>'État des Résultats'!AF8</f>
        <v>Pér.10</v>
      </c>
      <c r="AG8" s="717" t="str">
        <f>AD8</f>
        <v>(%)</v>
      </c>
      <c r="AH8" s="382"/>
      <c r="AI8" s="646" t="str">
        <f>'État des Résultats'!AI8</f>
        <v>Pér.11</v>
      </c>
      <c r="AJ8" s="717" t="str">
        <f>AG8</f>
        <v>(%)</v>
      </c>
      <c r="AK8" s="382"/>
      <c r="AL8" s="646" t="str">
        <f>'État des Résultats'!AL8</f>
        <v>Pér.12</v>
      </c>
      <c r="AM8" s="717" t="str">
        <f>AJ8</f>
        <v>(%)</v>
      </c>
      <c r="AN8" s="647" t="s">
        <v>2</v>
      </c>
      <c r="AO8" s="382"/>
      <c r="AP8" s="648" t="str">
        <f>'État des Résultats'!AP8</f>
        <v>Total</v>
      </c>
      <c r="AQ8" s="717" t="str">
        <f>AM8</f>
        <v>(%)</v>
      </c>
      <c r="AS8" s="1390"/>
      <c r="AT8" s="373"/>
      <c r="AU8" s="373"/>
      <c r="AV8" s="373"/>
      <c r="AW8" s="373"/>
      <c r="AX8" s="373"/>
      <c r="AY8" s="373"/>
      <c r="AZ8" s="373"/>
      <c r="BA8" s="373"/>
      <c r="BB8" s="373"/>
      <c r="BC8" s="1393"/>
    </row>
    <row r="9" spans="2:56" ht="15" thickTop="1" thickBot="1" x14ac:dyDescent="0.2">
      <c r="B9" s="1446">
        <f>AP31/$B$7</f>
        <v>551.50933972222231</v>
      </c>
      <c r="C9" s="1447"/>
      <c r="E9" s="664" t="str">
        <f>'État des Résultats'!E9</f>
        <v>Janvier 2021</v>
      </c>
      <c r="F9" s="665"/>
      <c r="G9" s="292"/>
      <c r="H9" s="666" t="str">
        <f>'État des Résultats'!H9</f>
        <v>Février 2021</v>
      </c>
      <c r="I9" s="667"/>
      <c r="J9" s="292"/>
      <c r="K9" s="666" t="str">
        <f>'État des Résultats'!K9</f>
        <v>Mars 2021</v>
      </c>
      <c r="L9" s="667"/>
      <c r="M9" s="292"/>
      <c r="N9" s="664" t="str">
        <f>'État des Résultats'!N9</f>
        <v>Avril 2021</v>
      </c>
      <c r="O9" s="665"/>
      <c r="P9" s="668"/>
      <c r="Q9" s="664" t="str">
        <f>'État des Résultats'!Q9</f>
        <v>Mai 2021</v>
      </c>
      <c r="R9" s="665"/>
      <c r="S9" s="668"/>
      <c r="T9" s="666" t="str">
        <f>'État des Résultats'!T9</f>
        <v>Juin 2021</v>
      </c>
      <c r="U9" s="667"/>
      <c r="V9" s="292"/>
      <c r="W9" s="666" t="str">
        <f>'État des Résultats'!W9</f>
        <v>Juillet 2021</v>
      </c>
      <c r="X9" s="667"/>
      <c r="Y9" s="292"/>
      <c r="Z9" s="666" t="str">
        <f>'État des Résultats'!Z9</f>
        <v>Août 2021</v>
      </c>
      <c r="AA9" s="667"/>
      <c r="AB9" s="292"/>
      <c r="AC9" s="666" t="str">
        <f>'État des Résultats'!AC9</f>
        <v>Septembre 2021</v>
      </c>
      <c r="AD9" s="667"/>
      <c r="AE9" s="292"/>
      <c r="AF9" s="666" t="str">
        <f>'État des Résultats'!AF9</f>
        <v>Octobre 2021</v>
      </c>
      <c r="AG9" s="667"/>
      <c r="AH9" s="292"/>
      <c r="AI9" s="666" t="str">
        <f>'État des Résultats'!AI9</f>
        <v>Novembre 2021</v>
      </c>
      <c r="AJ9" s="667"/>
      <c r="AK9" s="292"/>
      <c r="AL9" s="666" t="str">
        <f>'État des Résultats'!AL9</f>
        <v>Décembre 2021</v>
      </c>
      <c r="AM9" s="667"/>
      <c r="AN9" s="292"/>
      <c r="AO9" s="292"/>
      <c r="AP9" s="669" t="str">
        <f>'État des Résultats'!AP9</f>
        <v>Année</v>
      </c>
      <c r="AQ9" s="670"/>
      <c r="AR9" s="702"/>
      <c r="AS9" s="702"/>
      <c r="AT9" s="649"/>
      <c r="AU9" s="649"/>
      <c r="AV9" s="649"/>
      <c r="AW9" s="649"/>
      <c r="AX9" s="649"/>
      <c r="AY9" s="649"/>
      <c r="AZ9" s="649"/>
    </row>
    <row r="10" spans="2:56" ht="15" thickTop="1" thickBot="1" x14ac:dyDescent="0.2">
      <c r="D10" s="251"/>
      <c r="G10" s="388"/>
      <c r="J10" s="388"/>
      <c r="M10" s="388"/>
      <c r="P10" s="433"/>
      <c r="S10" s="433"/>
      <c r="V10" s="388"/>
      <c r="Y10" s="187"/>
      <c r="AB10" s="388"/>
      <c r="AE10" s="388"/>
      <c r="AH10" s="388"/>
      <c r="AK10" s="388"/>
      <c r="AN10" s="388"/>
      <c r="AO10" s="388"/>
      <c r="AR10" s="170"/>
      <c r="AS10" s="170"/>
      <c r="AT10" s="170"/>
    </row>
    <row r="11" spans="2:56" ht="17" thickTop="1" x14ac:dyDescent="0.2">
      <c r="B11" s="650"/>
      <c r="C11" s="712" t="s">
        <v>350</v>
      </c>
      <c r="E11" s="650"/>
      <c r="F11" s="651"/>
      <c r="H11" s="650"/>
      <c r="I11" s="651"/>
      <c r="K11" s="650"/>
      <c r="L11" s="651"/>
      <c r="N11" s="650"/>
      <c r="O11" s="651"/>
      <c r="Q11" s="650"/>
      <c r="R11" s="651"/>
      <c r="T11" s="650"/>
      <c r="U11" s="651"/>
      <c r="W11" s="650"/>
      <c r="X11" s="651"/>
      <c r="Z11" s="650"/>
      <c r="AA11" s="651"/>
      <c r="AC11" s="650"/>
      <c r="AD11" s="651"/>
      <c r="AF11" s="650"/>
      <c r="AG11" s="651"/>
      <c r="AI11" s="650"/>
      <c r="AJ11" s="651"/>
      <c r="AL11" s="650"/>
      <c r="AM11" s="651"/>
      <c r="AP11" s="613"/>
      <c r="AQ11" s="615"/>
      <c r="AR11" s="187"/>
      <c r="AS11" s="187"/>
      <c r="AT11" s="187"/>
      <c r="AU11" s="187"/>
      <c r="AV11" s="187"/>
      <c r="AW11" s="187"/>
      <c r="AX11" s="187"/>
      <c r="AY11" s="187"/>
      <c r="AZ11" s="187"/>
      <c r="BA11" s="187"/>
      <c r="BB11" s="187"/>
      <c r="BC11" s="187"/>
      <c r="BD11" s="187"/>
    </row>
    <row r="12" spans="2:56" x14ac:dyDescent="0.15">
      <c r="B12" s="190"/>
      <c r="C12" s="652"/>
      <c r="E12" s="190"/>
      <c r="F12" s="391"/>
      <c r="H12" s="190"/>
      <c r="I12" s="391"/>
      <c r="K12" s="190"/>
      <c r="L12" s="391"/>
      <c r="N12" s="190"/>
      <c r="O12" s="391"/>
      <c r="Q12" s="190"/>
      <c r="R12" s="391"/>
      <c r="T12" s="190"/>
      <c r="U12" s="391"/>
      <c r="W12" s="190"/>
      <c r="X12" s="391"/>
      <c r="Z12" s="190"/>
      <c r="AA12" s="391"/>
      <c r="AC12" s="190"/>
      <c r="AD12" s="391"/>
      <c r="AF12" s="190"/>
      <c r="AG12" s="391"/>
      <c r="AI12" s="190"/>
      <c r="AJ12" s="391"/>
      <c r="AL12" s="190"/>
      <c r="AM12" s="191"/>
      <c r="AP12" s="193"/>
      <c r="AQ12" s="494"/>
      <c r="AR12" s="187"/>
      <c r="AS12" s="187"/>
      <c r="AT12" s="187"/>
      <c r="AU12" s="187"/>
      <c r="AV12" s="187"/>
      <c r="AW12" s="187"/>
      <c r="AX12" s="187"/>
      <c r="AY12" s="187"/>
      <c r="AZ12" s="187"/>
      <c r="BA12" s="187"/>
      <c r="BB12" s="187"/>
      <c r="BC12" s="187"/>
      <c r="BD12" s="187"/>
    </row>
    <row r="13" spans="2:56" x14ac:dyDescent="0.15">
      <c r="B13" s="716">
        <v>7902</v>
      </c>
      <c r="C13" s="391" t="s">
        <v>351</v>
      </c>
      <c r="E13" s="793">
        <v>0</v>
      </c>
      <c r="F13" s="654">
        <f>E13/'État des Résultats'!E$14</f>
        <v>0</v>
      </c>
      <c r="H13" s="793">
        <v>0</v>
      </c>
      <c r="I13" s="654">
        <f>H13/'État des Résultats'!H$14</f>
        <v>0</v>
      </c>
      <c r="K13" s="793">
        <v>0</v>
      </c>
      <c r="L13" s="654">
        <f>K13/'État des Résultats'!K$14</f>
        <v>0</v>
      </c>
      <c r="N13" s="793">
        <v>0</v>
      </c>
      <c r="O13" s="654">
        <f>N13/'État des Résultats'!N$14</f>
        <v>0</v>
      </c>
      <c r="Q13" s="793">
        <v>0</v>
      </c>
      <c r="R13" s="654">
        <f>Q13/'État des Résultats'!Q$14</f>
        <v>0</v>
      </c>
      <c r="T13" s="793">
        <v>0</v>
      </c>
      <c r="U13" s="654">
        <f>T13/'État des Résultats'!T$14</f>
        <v>0</v>
      </c>
      <c r="W13" s="793">
        <v>0</v>
      </c>
      <c r="X13" s="654">
        <f>W13/'État des Résultats'!W$14</f>
        <v>0</v>
      </c>
      <c r="Z13" s="793">
        <v>0</v>
      </c>
      <c r="AA13" s="654">
        <f>Z13/'État des Résultats'!Z$14</f>
        <v>0</v>
      </c>
      <c r="AC13" s="793">
        <v>0</v>
      </c>
      <c r="AD13" s="654">
        <f>AC13/'État des Résultats'!AC$14</f>
        <v>0</v>
      </c>
      <c r="AF13" s="793">
        <v>0</v>
      </c>
      <c r="AG13" s="654">
        <f>AF13/'État des Résultats'!AF$14</f>
        <v>0</v>
      </c>
      <c r="AI13" s="793">
        <v>0</v>
      </c>
      <c r="AJ13" s="654">
        <f>AI13/'État des Résultats'!AI$14</f>
        <v>0</v>
      </c>
      <c r="AL13" s="793">
        <v>0</v>
      </c>
      <c r="AM13" s="654">
        <f>AL13/'État des Résultats'!AL$14</f>
        <v>0</v>
      </c>
      <c r="AP13" s="796">
        <f>SUM(+$AL13+$AI13+$AF13+$AC13+$Z13+$W13+$T13+$Q13+$N13+$K13+$H13+$E13)</f>
        <v>0</v>
      </c>
      <c r="AQ13" s="656">
        <f>AP13/'État des Résultats'!$AP$14</f>
        <v>0</v>
      </c>
    </row>
    <row r="14" spans="2:56" x14ac:dyDescent="0.15">
      <c r="B14" s="653">
        <v>7904</v>
      </c>
      <c r="C14" s="391" t="s">
        <v>352</v>
      </c>
      <c r="E14" s="793">
        <f>+(6000/12)</f>
        <v>500</v>
      </c>
      <c r="F14" s="654">
        <f>E14/'État des Résultats'!E$14</f>
        <v>6.8505663134819138E-3</v>
      </c>
      <c r="H14" s="793">
        <f>+(6000/12)</f>
        <v>500</v>
      </c>
      <c r="I14" s="654">
        <f>H14/'État des Résultats'!H$14</f>
        <v>7.0677205423297562E-3</v>
      </c>
      <c r="K14" s="793">
        <f>+(6000/12)</f>
        <v>500</v>
      </c>
      <c r="L14" s="654">
        <f>K14/'État des Résultats'!K$14</f>
        <v>6.3425617606951449E-3</v>
      </c>
      <c r="N14" s="793">
        <f>+(6000/12)</f>
        <v>500</v>
      </c>
      <c r="O14" s="654">
        <f>N14/'État des Résultats'!N$14</f>
        <v>6.0431711455982131E-3</v>
      </c>
      <c r="Q14" s="793">
        <f>+(6000/12)</f>
        <v>500</v>
      </c>
      <c r="R14" s="654">
        <f>Q14/'État des Résultats'!Q$14</f>
        <v>5.6128649859004832E-3</v>
      </c>
      <c r="T14" s="793">
        <f>+(6000/12)</f>
        <v>500</v>
      </c>
      <c r="U14" s="654">
        <f>T14/'État des Résultats'!T$14</f>
        <v>5.461693122683354E-3</v>
      </c>
      <c r="W14" s="793">
        <f>+(6000/12)</f>
        <v>500</v>
      </c>
      <c r="X14" s="654">
        <f>W14/'État des Résultats'!W$14</f>
        <v>5.0848273785004637E-3</v>
      </c>
      <c r="Z14" s="793">
        <f>+(6000/12)</f>
        <v>500</v>
      </c>
      <c r="AA14" s="654">
        <f>Z14/'État des Résultats'!Z$14</f>
        <v>5.0185858307656575E-3</v>
      </c>
      <c r="AC14" s="793">
        <f>+(6000/12)</f>
        <v>500</v>
      </c>
      <c r="AD14" s="654">
        <f>AC14/'État des Résultats'!AC$14</f>
        <v>5.4884398637681407E-3</v>
      </c>
      <c r="AF14" s="793">
        <f>+(6000/12)</f>
        <v>500</v>
      </c>
      <c r="AG14" s="654">
        <f>AF14/'État des Résultats'!AF$14</f>
        <v>5.2989322881059854E-3</v>
      </c>
      <c r="AI14" s="793">
        <f>+(6000/12)</f>
        <v>500</v>
      </c>
      <c r="AJ14" s="654">
        <f>AI14/'État des Résultats'!AI$14</f>
        <v>5.7007958938155318E-3</v>
      </c>
      <c r="AL14" s="793">
        <f>+(6000/12)</f>
        <v>500</v>
      </c>
      <c r="AM14" s="654">
        <f>AL14/'État des Résultats'!AL$14</f>
        <v>5.1297187898418839E-3</v>
      </c>
      <c r="AP14" s="796">
        <f>SUM(+$AL14+$AI14+$AF14+$AC14+$Z14+$W14+$T14+$Q14+$N14+$K14+$H14+$E14)</f>
        <v>6000</v>
      </c>
      <c r="AQ14" s="656">
        <f>AP14/'État des Résultats'!$AP$14</f>
        <v>5.6897492441608695E-3</v>
      </c>
    </row>
    <row r="15" spans="2:56" x14ac:dyDescent="0.15">
      <c r="B15" s="653">
        <v>7906</v>
      </c>
      <c r="C15" s="391" t="s">
        <v>353</v>
      </c>
      <c r="E15" s="793">
        <v>0</v>
      </c>
      <c r="F15" s="654">
        <f>E15/'État des Résultats'!E$14</f>
        <v>0</v>
      </c>
      <c r="G15" s="658" t="s">
        <v>2</v>
      </c>
      <c r="H15" s="793">
        <v>0</v>
      </c>
      <c r="I15" s="654">
        <f>H15/'État des Résultats'!H$14</f>
        <v>0</v>
      </c>
      <c r="K15" s="793">
        <v>0</v>
      </c>
      <c r="L15" s="654">
        <f>K15/'État des Résultats'!K$14</f>
        <v>0</v>
      </c>
      <c r="N15" s="793">
        <v>0</v>
      </c>
      <c r="O15" s="654">
        <f>N15/'État des Résultats'!N$14</f>
        <v>0</v>
      </c>
      <c r="Q15" s="793">
        <v>0</v>
      </c>
      <c r="R15" s="654">
        <f>Q15/'État des Résultats'!Q$14</f>
        <v>0</v>
      </c>
      <c r="T15" s="793">
        <v>0</v>
      </c>
      <c r="U15" s="654">
        <f>T15/'État des Résultats'!T$14</f>
        <v>0</v>
      </c>
      <c r="W15" s="793">
        <v>0</v>
      </c>
      <c r="X15" s="654">
        <f>W15/'État des Résultats'!W$14</f>
        <v>0</v>
      </c>
      <c r="Z15" s="793">
        <v>0</v>
      </c>
      <c r="AA15" s="654">
        <f>Z15/'État des Résultats'!Z$14</f>
        <v>0</v>
      </c>
      <c r="AC15" s="793">
        <v>0</v>
      </c>
      <c r="AD15" s="654">
        <f>AC15/'État des Résultats'!AC$14</f>
        <v>0</v>
      </c>
      <c r="AF15" s="793">
        <v>0</v>
      </c>
      <c r="AG15" s="654">
        <f>AF15/'État des Résultats'!AF$14</f>
        <v>0</v>
      </c>
      <c r="AI15" s="793">
        <v>0</v>
      </c>
      <c r="AJ15" s="654">
        <f>AI15/'État des Résultats'!AI$14</f>
        <v>0</v>
      </c>
      <c r="AL15" s="793">
        <v>0</v>
      </c>
      <c r="AM15" s="654">
        <f>AL15/'État des Résultats'!AL$14</f>
        <v>0</v>
      </c>
      <c r="AP15" s="796">
        <f t="shared" ref="AP15:AP29" si="0">SUM(+$AL15+$AI15+$AF15+$AC15+$Z15+$W15+$T15+$Q15+$N15+$K15+$H15+$E15)</f>
        <v>0</v>
      </c>
      <c r="AQ15" s="656">
        <f>AP15/'État des Résultats'!$AP$14</f>
        <v>0</v>
      </c>
    </row>
    <row r="16" spans="2:56" x14ac:dyDescent="0.15">
      <c r="B16" s="653">
        <v>7908</v>
      </c>
      <c r="C16" s="391" t="s">
        <v>354</v>
      </c>
      <c r="E16" s="793">
        <v>0</v>
      </c>
      <c r="F16" s="654">
        <f>E16/'État des Résultats'!E$14</f>
        <v>0</v>
      </c>
      <c r="H16" s="793">
        <v>0</v>
      </c>
      <c r="I16" s="654">
        <f>H16/'État des Résultats'!H$14</f>
        <v>0</v>
      </c>
      <c r="K16" s="793">
        <v>0</v>
      </c>
      <c r="L16" s="654">
        <f>K16/'État des Résultats'!K$14</f>
        <v>0</v>
      </c>
      <c r="N16" s="793">
        <v>0</v>
      </c>
      <c r="O16" s="654">
        <f>N16/'État des Résultats'!N$14</f>
        <v>0</v>
      </c>
      <c r="Q16" s="793">
        <v>0</v>
      </c>
      <c r="R16" s="654">
        <f>Q16/'État des Résultats'!Q$14</f>
        <v>0</v>
      </c>
      <c r="T16" s="793">
        <v>0</v>
      </c>
      <c r="U16" s="654">
        <f>T16/'État des Résultats'!T$14</f>
        <v>0</v>
      </c>
      <c r="W16" s="793">
        <v>0</v>
      </c>
      <c r="X16" s="654">
        <f>W16/'État des Résultats'!W$14</f>
        <v>0</v>
      </c>
      <c r="Z16" s="793">
        <v>0</v>
      </c>
      <c r="AA16" s="654">
        <f>Z16/'État des Résultats'!Z$14</f>
        <v>0</v>
      </c>
      <c r="AC16" s="793">
        <v>0</v>
      </c>
      <c r="AD16" s="654">
        <f>AC16/'État des Résultats'!AC$14</f>
        <v>0</v>
      </c>
      <c r="AF16" s="793">
        <v>0</v>
      </c>
      <c r="AG16" s="654">
        <f>AF16/'État des Résultats'!AF$14</f>
        <v>0</v>
      </c>
      <c r="AI16" s="793">
        <v>0</v>
      </c>
      <c r="AJ16" s="654">
        <f>AI16/'État des Résultats'!AI$14</f>
        <v>0</v>
      </c>
      <c r="AL16" s="793">
        <v>0</v>
      </c>
      <c r="AM16" s="654">
        <f>AL16/'État des Résultats'!AL$14</f>
        <v>0</v>
      </c>
      <c r="AP16" s="796">
        <f t="shared" si="0"/>
        <v>0</v>
      </c>
      <c r="AQ16" s="656">
        <f>AP16/'État des Résultats'!$AP$14</f>
        <v>0</v>
      </c>
    </row>
    <row r="17" spans="2:47" x14ac:dyDescent="0.15">
      <c r="B17" s="653">
        <v>7910</v>
      </c>
      <c r="C17" s="391" t="s">
        <v>355</v>
      </c>
      <c r="E17" s="793">
        <v>0</v>
      </c>
      <c r="F17" s="654">
        <f>E17/'État des Résultats'!E$14</f>
        <v>0</v>
      </c>
      <c r="H17" s="793">
        <v>0</v>
      </c>
      <c r="I17" s="654">
        <f>H17/'État des Résultats'!H$14</f>
        <v>0</v>
      </c>
      <c r="K17" s="793">
        <v>0</v>
      </c>
      <c r="L17" s="654">
        <f>K17/'État des Résultats'!K$14</f>
        <v>0</v>
      </c>
      <c r="N17" s="793">
        <v>0</v>
      </c>
      <c r="O17" s="654">
        <f>N17/'État des Résultats'!N$14</f>
        <v>0</v>
      </c>
      <c r="Q17" s="793">
        <v>0</v>
      </c>
      <c r="R17" s="654">
        <f>Q17/'État des Résultats'!Q$14</f>
        <v>0</v>
      </c>
      <c r="T17" s="793">
        <v>0</v>
      </c>
      <c r="U17" s="654">
        <f>T17/'État des Résultats'!T$14</f>
        <v>0</v>
      </c>
      <c r="W17" s="793">
        <v>0</v>
      </c>
      <c r="X17" s="654">
        <f>W17/'État des Résultats'!W$14</f>
        <v>0</v>
      </c>
      <c r="Z17" s="793">
        <v>0</v>
      </c>
      <c r="AA17" s="654">
        <f>Z17/'État des Résultats'!Z$14</f>
        <v>0</v>
      </c>
      <c r="AC17" s="793">
        <v>0</v>
      </c>
      <c r="AD17" s="654">
        <f>AC17/'État des Résultats'!AC$14</f>
        <v>0</v>
      </c>
      <c r="AF17" s="793">
        <v>0</v>
      </c>
      <c r="AG17" s="654">
        <f>AF17/'État des Résultats'!AF$14</f>
        <v>0</v>
      </c>
      <c r="AI17" s="793">
        <v>0</v>
      </c>
      <c r="AJ17" s="654">
        <f>AI17/'État des Résultats'!AI$14</f>
        <v>0</v>
      </c>
      <c r="AL17" s="793">
        <v>0</v>
      </c>
      <c r="AM17" s="654">
        <f>AL17/'État des Résultats'!AL$14</f>
        <v>0</v>
      </c>
      <c r="AP17" s="796">
        <f t="shared" si="0"/>
        <v>0</v>
      </c>
      <c r="AQ17" s="656">
        <f>AP17/'État des Résultats'!$AP$14</f>
        <v>0</v>
      </c>
    </row>
    <row r="18" spans="2:47" x14ac:dyDescent="0.15">
      <c r="B18" s="653">
        <v>7912</v>
      </c>
      <c r="C18" s="391" t="s">
        <v>356</v>
      </c>
      <c r="E18" s="793">
        <v>0</v>
      </c>
      <c r="F18" s="654">
        <f>E18/'État des Résultats'!E$14</f>
        <v>0</v>
      </c>
      <c r="H18" s="793">
        <v>0</v>
      </c>
      <c r="I18" s="654">
        <f>H18/'État des Résultats'!H$14</f>
        <v>0</v>
      </c>
      <c r="K18" s="793">
        <v>0</v>
      </c>
      <c r="L18" s="654">
        <f>K18/'État des Résultats'!K$14</f>
        <v>0</v>
      </c>
      <c r="N18" s="793">
        <v>0</v>
      </c>
      <c r="O18" s="654">
        <f>N18/'État des Résultats'!N$14</f>
        <v>0</v>
      </c>
      <c r="Q18" s="793">
        <v>0</v>
      </c>
      <c r="R18" s="654">
        <f>Q18/'État des Résultats'!Q$14</f>
        <v>0</v>
      </c>
      <c r="T18" s="793">
        <v>0</v>
      </c>
      <c r="U18" s="654">
        <f>T18/'État des Résultats'!T$14</f>
        <v>0</v>
      </c>
      <c r="W18" s="793">
        <v>0</v>
      </c>
      <c r="X18" s="654">
        <f>W18/'État des Résultats'!W$14</f>
        <v>0</v>
      </c>
      <c r="Z18" s="793">
        <v>0</v>
      </c>
      <c r="AA18" s="654">
        <f>Z18/'État des Résultats'!Z$14</f>
        <v>0</v>
      </c>
      <c r="AC18" s="793">
        <v>0</v>
      </c>
      <c r="AD18" s="654">
        <f>AC18/'État des Résultats'!AC$14</f>
        <v>0</v>
      </c>
      <c r="AF18" s="793">
        <v>0</v>
      </c>
      <c r="AG18" s="654">
        <f>AF18/'État des Résultats'!AF$14</f>
        <v>0</v>
      </c>
      <c r="AI18" s="793">
        <v>0</v>
      </c>
      <c r="AJ18" s="654">
        <f>AI18/'État des Résultats'!AI$14</f>
        <v>0</v>
      </c>
      <c r="AL18" s="793">
        <v>0</v>
      </c>
      <c r="AM18" s="654">
        <f>AL18/'État des Résultats'!AL$14</f>
        <v>0</v>
      </c>
      <c r="AP18" s="796">
        <f t="shared" si="0"/>
        <v>0</v>
      </c>
      <c r="AQ18" s="656">
        <f>AP18/'État des Résultats'!$AP$14</f>
        <v>0</v>
      </c>
      <c r="AS18" s="209"/>
    </row>
    <row r="19" spans="2:47" x14ac:dyDescent="0.15">
      <c r="B19" s="653">
        <v>7914</v>
      </c>
      <c r="C19" s="391" t="s">
        <v>357</v>
      </c>
      <c r="E19" s="793">
        <v>0</v>
      </c>
      <c r="F19" s="654">
        <f>E19/'État des Résultats'!E$14</f>
        <v>0</v>
      </c>
      <c r="H19" s="793">
        <v>0</v>
      </c>
      <c r="I19" s="654">
        <f>H19/'État des Résultats'!H$14</f>
        <v>0</v>
      </c>
      <c r="K19" s="793">
        <v>0</v>
      </c>
      <c r="L19" s="654">
        <f>K19/'État des Résultats'!K$14</f>
        <v>0</v>
      </c>
      <c r="N19" s="793">
        <v>0</v>
      </c>
      <c r="O19" s="654">
        <f>N19/'État des Résultats'!N$14</f>
        <v>0</v>
      </c>
      <c r="Q19" s="793">
        <v>0</v>
      </c>
      <c r="R19" s="654">
        <f>Q19/'État des Résultats'!Q$14</f>
        <v>0</v>
      </c>
      <c r="T19" s="793">
        <v>0</v>
      </c>
      <c r="U19" s="654">
        <f>T19/'État des Résultats'!T$14</f>
        <v>0</v>
      </c>
      <c r="W19" s="793">
        <v>0</v>
      </c>
      <c r="X19" s="654">
        <f>W19/'État des Résultats'!W$14</f>
        <v>0</v>
      </c>
      <c r="Z19" s="793">
        <v>0</v>
      </c>
      <c r="AA19" s="654">
        <f>Z19/'État des Résultats'!Z$14</f>
        <v>0</v>
      </c>
      <c r="AC19" s="793">
        <v>0</v>
      </c>
      <c r="AD19" s="654">
        <f>AC19/'État des Résultats'!AC$14</f>
        <v>0</v>
      </c>
      <c r="AF19" s="793">
        <v>0</v>
      </c>
      <c r="AG19" s="654">
        <f>AF19/'État des Résultats'!AF$14</f>
        <v>0</v>
      </c>
      <c r="AI19" s="793">
        <v>0</v>
      </c>
      <c r="AJ19" s="654">
        <f>AI19/'État des Résultats'!AI$14</f>
        <v>0</v>
      </c>
      <c r="AL19" s="793">
        <v>0</v>
      </c>
      <c r="AM19" s="654">
        <f>AL19/'État des Résultats'!AL$14</f>
        <v>0</v>
      </c>
      <c r="AP19" s="796">
        <f t="shared" si="0"/>
        <v>0</v>
      </c>
      <c r="AQ19" s="656">
        <f>AP19/'État des Résultats'!$AP$14</f>
        <v>0</v>
      </c>
    </row>
    <row r="20" spans="2:47" x14ac:dyDescent="0.15">
      <c r="B20" s="716">
        <v>7916</v>
      </c>
      <c r="C20" s="391" t="s">
        <v>358</v>
      </c>
      <c r="E20" s="793">
        <v>0</v>
      </c>
      <c r="F20" s="654">
        <f>E20/'État des Résultats'!E$14</f>
        <v>0</v>
      </c>
      <c r="H20" s="793">
        <v>0</v>
      </c>
      <c r="I20" s="654">
        <f>H20/'État des Résultats'!H$14</f>
        <v>0</v>
      </c>
      <c r="K20" s="793">
        <v>0</v>
      </c>
      <c r="L20" s="654">
        <f>K20/'État des Résultats'!K$14</f>
        <v>0</v>
      </c>
      <c r="N20" s="793">
        <v>0</v>
      </c>
      <c r="O20" s="654">
        <f>N20/'État des Résultats'!N$14</f>
        <v>0</v>
      </c>
      <c r="Q20" s="793">
        <v>0</v>
      </c>
      <c r="R20" s="654">
        <f>Q20/'État des Résultats'!Q$14</f>
        <v>0</v>
      </c>
      <c r="T20" s="793">
        <v>0</v>
      </c>
      <c r="U20" s="654">
        <f>T20/'État des Résultats'!T$14</f>
        <v>0</v>
      </c>
      <c r="W20" s="793">
        <v>0</v>
      </c>
      <c r="X20" s="654">
        <f>W20/'État des Résultats'!W$14</f>
        <v>0</v>
      </c>
      <c r="Z20" s="793">
        <v>0</v>
      </c>
      <c r="AA20" s="654">
        <f>Z20/'État des Résultats'!Z$14</f>
        <v>0</v>
      </c>
      <c r="AC20" s="793">
        <v>0</v>
      </c>
      <c r="AD20" s="654">
        <f>AC20/'État des Résultats'!AC$14</f>
        <v>0</v>
      </c>
      <c r="AF20" s="793">
        <v>0</v>
      </c>
      <c r="AG20" s="654">
        <f>AF20/'État des Résultats'!AF$14</f>
        <v>0</v>
      </c>
      <c r="AI20" s="793">
        <v>0</v>
      </c>
      <c r="AJ20" s="654">
        <f>AI20/'État des Résultats'!AI$14</f>
        <v>0</v>
      </c>
      <c r="AL20" s="793">
        <v>0</v>
      </c>
      <c r="AM20" s="654">
        <f>AL20/'État des Résultats'!AL$14</f>
        <v>0</v>
      </c>
      <c r="AP20" s="796">
        <f t="shared" si="0"/>
        <v>0</v>
      </c>
      <c r="AQ20" s="656">
        <f>AP20/'État des Résultats'!$AP$14</f>
        <v>0</v>
      </c>
    </row>
    <row r="21" spans="2:47" x14ac:dyDescent="0.15">
      <c r="B21" s="653">
        <v>7918</v>
      </c>
      <c r="C21" s="391" t="s">
        <v>359</v>
      </c>
      <c r="E21" s="793">
        <v>0</v>
      </c>
      <c r="F21" s="654">
        <f>E21/'État des Résultats'!E$14</f>
        <v>0</v>
      </c>
      <c r="H21" s="793">
        <v>0</v>
      </c>
      <c r="I21" s="654">
        <f>H21/'État des Résultats'!H$14</f>
        <v>0</v>
      </c>
      <c r="K21" s="793">
        <v>0</v>
      </c>
      <c r="L21" s="654">
        <f>K21/'État des Résultats'!K$14</f>
        <v>0</v>
      </c>
      <c r="N21" s="793">
        <v>0</v>
      </c>
      <c r="O21" s="654">
        <f>N21/'État des Résultats'!N$14</f>
        <v>0</v>
      </c>
      <c r="Q21" s="793">
        <v>0</v>
      </c>
      <c r="R21" s="654">
        <f>Q21/'État des Résultats'!Q$14</f>
        <v>0</v>
      </c>
      <c r="T21" s="793">
        <v>0</v>
      </c>
      <c r="U21" s="654">
        <f>T21/'État des Résultats'!T$14</f>
        <v>0</v>
      </c>
      <c r="W21" s="793">
        <v>0</v>
      </c>
      <c r="X21" s="654">
        <f>W21/'État des Résultats'!W$14</f>
        <v>0</v>
      </c>
      <c r="Z21" s="793">
        <v>0</v>
      </c>
      <c r="AA21" s="654">
        <f>Z21/'État des Résultats'!Z$14</f>
        <v>0</v>
      </c>
      <c r="AC21" s="793">
        <v>0</v>
      </c>
      <c r="AD21" s="654">
        <f>AC21/'État des Résultats'!AC$14</f>
        <v>0</v>
      </c>
      <c r="AF21" s="793">
        <v>0</v>
      </c>
      <c r="AG21" s="654">
        <f>AF21/'État des Résultats'!AF$14</f>
        <v>0</v>
      </c>
      <c r="AI21" s="793">
        <v>0</v>
      </c>
      <c r="AJ21" s="654">
        <f>AI21/'État des Résultats'!AI$14</f>
        <v>0</v>
      </c>
      <c r="AL21" s="793">
        <v>0</v>
      </c>
      <c r="AM21" s="654">
        <f>AL21/'État des Résultats'!AL$14</f>
        <v>0</v>
      </c>
      <c r="AP21" s="796">
        <f t="shared" si="0"/>
        <v>0</v>
      </c>
      <c r="AQ21" s="656">
        <f>AP21/'État des Résultats'!$AP$14</f>
        <v>0</v>
      </c>
    </row>
    <row r="22" spans="2:47" x14ac:dyDescent="0.15">
      <c r="B22" s="653">
        <v>7920</v>
      </c>
      <c r="C22" s="391" t="s">
        <v>360</v>
      </c>
      <c r="E22" s="793">
        <v>0</v>
      </c>
      <c r="F22" s="654">
        <f>E22/'État des Résultats'!E$14</f>
        <v>0</v>
      </c>
      <c r="H22" s="793">
        <v>0</v>
      </c>
      <c r="I22" s="654">
        <f>H22/'État des Résultats'!H$14</f>
        <v>0</v>
      </c>
      <c r="K22" s="793">
        <v>0</v>
      </c>
      <c r="L22" s="654">
        <f>K22/'État des Résultats'!K$14</f>
        <v>0</v>
      </c>
      <c r="N22" s="793">
        <v>0</v>
      </c>
      <c r="O22" s="654">
        <f>N22/'État des Résultats'!N$14</f>
        <v>0</v>
      </c>
      <c r="Q22" s="793">
        <v>0</v>
      </c>
      <c r="R22" s="654">
        <f>Q22/'État des Résultats'!Q$14</f>
        <v>0</v>
      </c>
      <c r="T22" s="793">
        <v>0</v>
      </c>
      <c r="U22" s="654">
        <f>T22/'État des Résultats'!T$14</f>
        <v>0</v>
      </c>
      <c r="W22" s="793">
        <v>0</v>
      </c>
      <c r="X22" s="654">
        <f>W22/'État des Résultats'!W$14</f>
        <v>0</v>
      </c>
      <c r="Z22" s="793">
        <v>0</v>
      </c>
      <c r="AA22" s="654">
        <f>Z22/'État des Résultats'!Z$14</f>
        <v>0</v>
      </c>
      <c r="AC22" s="793">
        <v>0</v>
      </c>
      <c r="AD22" s="654">
        <f>AC22/'État des Résultats'!AC$14</f>
        <v>0</v>
      </c>
      <c r="AF22" s="793">
        <v>0</v>
      </c>
      <c r="AG22" s="654">
        <f>AF22/'État des Résultats'!AF$14</f>
        <v>0</v>
      </c>
      <c r="AI22" s="793">
        <v>0</v>
      </c>
      <c r="AJ22" s="654">
        <f>AI22/'État des Résultats'!AI$14</f>
        <v>0</v>
      </c>
      <c r="AL22" s="793">
        <v>0</v>
      </c>
      <c r="AM22" s="654">
        <f>AL22/'État des Résultats'!AL$14</f>
        <v>0</v>
      </c>
      <c r="AP22" s="796">
        <f t="shared" si="0"/>
        <v>0</v>
      </c>
      <c r="AQ22" s="656">
        <f>AP22/'État des Résultats'!$AP$14</f>
        <v>0</v>
      </c>
    </row>
    <row r="23" spans="2:47" x14ac:dyDescent="0.15">
      <c r="B23" s="653">
        <v>7922</v>
      </c>
      <c r="C23" s="391" t="s">
        <v>361</v>
      </c>
      <c r="E23" s="793">
        <v>0</v>
      </c>
      <c r="F23" s="654">
        <f>E23/'État des Résultats'!E$14</f>
        <v>0</v>
      </c>
      <c r="H23" s="793">
        <v>0</v>
      </c>
      <c r="I23" s="654">
        <f>H23/'État des Résultats'!H$14</f>
        <v>0</v>
      </c>
      <c r="K23" s="793">
        <v>0</v>
      </c>
      <c r="L23" s="654">
        <f>K23/'État des Résultats'!K$14</f>
        <v>0</v>
      </c>
      <c r="N23" s="793">
        <v>0</v>
      </c>
      <c r="O23" s="654">
        <f>N23/'État des Résultats'!N$14</f>
        <v>0</v>
      </c>
      <c r="Q23" s="793">
        <v>0</v>
      </c>
      <c r="R23" s="654">
        <f>Q23/'État des Résultats'!Q$14</f>
        <v>0</v>
      </c>
      <c r="T23" s="793">
        <v>0</v>
      </c>
      <c r="U23" s="654">
        <f>T23/'État des Résultats'!T$14</f>
        <v>0</v>
      </c>
      <c r="W23" s="793">
        <v>0</v>
      </c>
      <c r="X23" s="654">
        <f>W23/'État des Résultats'!W$14</f>
        <v>0</v>
      </c>
      <c r="Z23" s="793">
        <v>0</v>
      </c>
      <c r="AA23" s="654">
        <f>Z23/'État des Résultats'!Z$14</f>
        <v>0</v>
      </c>
      <c r="AC23" s="793">
        <v>0</v>
      </c>
      <c r="AD23" s="654">
        <f>AC23/'État des Résultats'!AC$14</f>
        <v>0</v>
      </c>
      <c r="AF23" s="793">
        <v>0</v>
      </c>
      <c r="AG23" s="654">
        <f>AF23/'État des Résultats'!AF$14</f>
        <v>0</v>
      </c>
      <c r="AI23" s="793">
        <v>0</v>
      </c>
      <c r="AJ23" s="654">
        <f>AI23/'État des Résultats'!AI$14</f>
        <v>0</v>
      </c>
      <c r="AL23" s="793">
        <v>0</v>
      </c>
      <c r="AM23" s="654">
        <f>AL23/'État des Résultats'!AL$14</f>
        <v>0</v>
      </c>
      <c r="AP23" s="796">
        <f t="shared" si="0"/>
        <v>0</v>
      </c>
      <c r="AQ23" s="656">
        <f>AP23/'État des Résultats'!$AP$14</f>
        <v>0</v>
      </c>
    </row>
    <row r="24" spans="2:47" x14ac:dyDescent="0.15">
      <c r="B24" s="653">
        <v>7924</v>
      </c>
      <c r="C24" s="391" t="s">
        <v>362</v>
      </c>
      <c r="E24" s="793">
        <v>0</v>
      </c>
      <c r="F24" s="654">
        <f>E24/'État des Résultats'!E$14</f>
        <v>0</v>
      </c>
      <c r="H24" s="793">
        <v>0</v>
      </c>
      <c r="I24" s="654">
        <f>H24/'État des Résultats'!H$14</f>
        <v>0</v>
      </c>
      <c r="K24" s="793">
        <v>0</v>
      </c>
      <c r="L24" s="654">
        <f>K24/'État des Résultats'!K$14</f>
        <v>0</v>
      </c>
      <c r="N24" s="793">
        <v>0</v>
      </c>
      <c r="O24" s="654">
        <f>N24/'État des Résultats'!N$14</f>
        <v>0</v>
      </c>
      <c r="Q24" s="793">
        <v>0</v>
      </c>
      <c r="R24" s="654">
        <f>Q24/'État des Résultats'!Q$14</f>
        <v>0</v>
      </c>
      <c r="T24" s="793">
        <v>0</v>
      </c>
      <c r="U24" s="654">
        <f>T24/'État des Résultats'!T$14</f>
        <v>0</v>
      </c>
      <c r="W24" s="793">
        <v>0</v>
      </c>
      <c r="X24" s="654">
        <f>W24/'État des Résultats'!W$14</f>
        <v>0</v>
      </c>
      <c r="Z24" s="793">
        <v>0</v>
      </c>
      <c r="AA24" s="654">
        <f>Z24/'État des Résultats'!Z$14</f>
        <v>0</v>
      </c>
      <c r="AC24" s="793">
        <v>0</v>
      </c>
      <c r="AD24" s="654">
        <f>AC24/'État des Résultats'!AC$14</f>
        <v>0</v>
      </c>
      <c r="AF24" s="793">
        <v>0</v>
      </c>
      <c r="AG24" s="654">
        <f>AF24/'État des Résultats'!AF$14</f>
        <v>0</v>
      </c>
      <c r="AI24" s="793">
        <v>0</v>
      </c>
      <c r="AJ24" s="654">
        <f>AI24/'État des Résultats'!AI$14</f>
        <v>0</v>
      </c>
      <c r="AL24" s="793">
        <v>0</v>
      </c>
      <c r="AM24" s="654">
        <f>AL24/'État des Résultats'!AL$14</f>
        <v>0</v>
      </c>
      <c r="AP24" s="796">
        <f t="shared" si="0"/>
        <v>0</v>
      </c>
      <c r="AQ24" s="656">
        <f>AP24/'État des Résultats'!$AP$14</f>
        <v>0</v>
      </c>
    </row>
    <row r="25" spans="2:47" x14ac:dyDescent="0.15">
      <c r="B25" s="653">
        <v>7928</v>
      </c>
      <c r="C25" s="391" t="s">
        <v>363</v>
      </c>
      <c r="E25" s="793">
        <v>0</v>
      </c>
      <c r="F25" s="654">
        <f>E25/'État des Résultats'!E$14</f>
        <v>0</v>
      </c>
      <c r="H25" s="793">
        <v>0</v>
      </c>
      <c r="I25" s="654">
        <f>H25/'État des Résultats'!H$14</f>
        <v>0</v>
      </c>
      <c r="K25" s="793">
        <v>0</v>
      </c>
      <c r="L25" s="654">
        <f>K25/'État des Résultats'!K$14</f>
        <v>0</v>
      </c>
      <c r="N25" s="793">
        <v>0</v>
      </c>
      <c r="O25" s="654">
        <f>N25/'État des Résultats'!N$14</f>
        <v>0</v>
      </c>
      <c r="Q25" s="793">
        <v>0</v>
      </c>
      <c r="R25" s="654">
        <f>Q25/'État des Résultats'!Q$14</f>
        <v>0</v>
      </c>
      <c r="T25" s="793">
        <v>0</v>
      </c>
      <c r="U25" s="654">
        <f>T25/'État des Résultats'!T$14</f>
        <v>0</v>
      </c>
      <c r="W25" s="793">
        <v>0</v>
      </c>
      <c r="X25" s="654">
        <f>W25/'État des Résultats'!W$14</f>
        <v>0</v>
      </c>
      <c r="Z25" s="793">
        <v>0</v>
      </c>
      <c r="AA25" s="654">
        <f>Z25/'État des Résultats'!Z$14</f>
        <v>0</v>
      </c>
      <c r="AC25" s="793">
        <v>0</v>
      </c>
      <c r="AD25" s="654">
        <f>AC25/'État des Résultats'!AC$14</f>
        <v>0</v>
      </c>
      <c r="AF25" s="793">
        <v>0</v>
      </c>
      <c r="AG25" s="654">
        <f>AF25/'État des Résultats'!AF$14</f>
        <v>0</v>
      </c>
      <c r="AI25" s="793">
        <v>0</v>
      </c>
      <c r="AJ25" s="654">
        <f>AI25/'État des Résultats'!AI$14</f>
        <v>0</v>
      </c>
      <c r="AL25" s="793">
        <v>0</v>
      </c>
      <c r="AM25" s="654">
        <f>AL25/'État des Résultats'!AL$14</f>
        <v>0</v>
      </c>
      <c r="AP25" s="796">
        <f t="shared" si="0"/>
        <v>0</v>
      </c>
      <c r="AQ25" s="656">
        <f>AP25/'État des Résultats'!$AP$14</f>
        <v>0</v>
      </c>
    </row>
    <row r="26" spans="2:47" x14ac:dyDescent="0.15">
      <c r="B26" s="653">
        <v>7990</v>
      </c>
      <c r="C26" s="391" t="s">
        <v>368</v>
      </c>
      <c r="E26" s="793">
        <v>0</v>
      </c>
      <c r="F26" s="654">
        <f>E26/'État des Résultats'!E$14</f>
        <v>0</v>
      </c>
      <c r="H26" s="793">
        <v>0</v>
      </c>
      <c r="I26" s="654">
        <f>H26/'État des Résultats'!H$14</f>
        <v>0</v>
      </c>
      <c r="K26" s="793">
        <v>0</v>
      </c>
      <c r="L26" s="654">
        <f>K26/'État des Résultats'!K$14</f>
        <v>0</v>
      </c>
      <c r="N26" s="793">
        <v>0</v>
      </c>
      <c r="O26" s="654">
        <f>N26/'État des Résultats'!N$14</f>
        <v>0</v>
      </c>
      <c r="Q26" s="793">
        <v>0</v>
      </c>
      <c r="R26" s="654">
        <f>Q26/'État des Résultats'!Q$14</f>
        <v>0</v>
      </c>
      <c r="T26" s="793">
        <v>0</v>
      </c>
      <c r="U26" s="654">
        <f>T26/'État des Résultats'!T$14</f>
        <v>0</v>
      </c>
      <c r="W26" s="793">
        <v>0</v>
      </c>
      <c r="X26" s="654">
        <f>W26/'État des Résultats'!W$14</f>
        <v>0</v>
      </c>
      <c r="Z26" s="793">
        <v>0</v>
      </c>
      <c r="AA26" s="654">
        <f>Z26/'État des Résultats'!Z$14</f>
        <v>0</v>
      </c>
      <c r="AC26" s="793">
        <v>0</v>
      </c>
      <c r="AD26" s="654">
        <f>AC26/'État des Résultats'!AC$14</f>
        <v>0</v>
      </c>
      <c r="AF26" s="793">
        <v>0</v>
      </c>
      <c r="AG26" s="654">
        <f>AF26/'État des Résultats'!AF$14</f>
        <v>0</v>
      </c>
      <c r="AI26" s="793">
        <v>0</v>
      </c>
      <c r="AJ26" s="654">
        <f>AI26/'État des Résultats'!AI$14</f>
        <v>0</v>
      </c>
      <c r="AL26" s="793">
        <v>0</v>
      </c>
      <c r="AM26" s="654">
        <f>AL26/'État des Résultats'!AL$14</f>
        <v>0</v>
      </c>
      <c r="AP26" s="796">
        <f t="shared" si="0"/>
        <v>0</v>
      </c>
      <c r="AQ26" s="656">
        <f>AP26/'État des Résultats'!$AP$14</f>
        <v>0</v>
      </c>
    </row>
    <row r="27" spans="2:47" x14ac:dyDescent="0.15">
      <c r="B27" s="716">
        <v>7996</v>
      </c>
      <c r="C27" s="391" t="s">
        <v>364</v>
      </c>
      <c r="E27" s="793">
        <v>0</v>
      </c>
      <c r="F27" s="654">
        <f>E27/'État des Résultats'!E$14</f>
        <v>0</v>
      </c>
      <c r="H27" s="793">
        <v>0</v>
      </c>
      <c r="I27" s="654">
        <f>H27/'État des Résultats'!H$14</f>
        <v>0</v>
      </c>
      <c r="K27" s="793">
        <v>0</v>
      </c>
      <c r="L27" s="654">
        <f>K27/'État des Résultats'!K$14</f>
        <v>0</v>
      </c>
      <c r="N27" s="793">
        <v>0</v>
      </c>
      <c r="O27" s="654">
        <f>N27/'État des Résultats'!N$14</f>
        <v>0</v>
      </c>
      <c r="Q27" s="793">
        <v>0</v>
      </c>
      <c r="R27" s="654">
        <f>Q27/'État des Résultats'!Q$14</f>
        <v>0</v>
      </c>
      <c r="T27" s="793">
        <v>0</v>
      </c>
      <c r="U27" s="654">
        <f>T27/'État des Résultats'!T$14</f>
        <v>0</v>
      </c>
      <c r="W27" s="793">
        <v>0</v>
      </c>
      <c r="X27" s="654">
        <f>W27/'État des Résultats'!W$14</f>
        <v>0</v>
      </c>
      <c r="Z27" s="793">
        <v>0</v>
      </c>
      <c r="AA27" s="654">
        <f>Z27/'État des Résultats'!Z$14</f>
        <v>0</v>
      </c>
      <c r="AC27" s="793">
        <v>0</v>
      </c>
      <c r="AD27" s="654">
        <f>AC27/'État des Résultats'!AC$14</f>
        <v>0</v>
      </c>
      <c r="AF27" s="793">
        <v>0</v>
      </c>
      <c r="AG27" s="654">
        <f>AF27/'État des Résultats'!AF$14</f>
        <v>0</v>
      </c>
      <c r="AI27" s="793">
        <v>0</v>
      </c>
      <c r="AJ27" s="654">
        <f>AI27/'État des Résultats'!AI$14</f>
        <v>0</v>
      </c>
      <c r="AL27" s="793">
        <v>0</v>
      </c>
      <c r="AM27" s="654">
        <f>AL27/'État des Résultats'!AL$14</f>
        <v>0</v>
      </c>
      <c r="AP27" s="796">
        <f t="shared" si="0"/>
        <v>0</v>
      </c>
      <c r="AQ27" s="656">
        <f>AP27/'État des Résultats'!$AP$14</f>
        <v>0</v>
      </c>
    </row>
    <row r="28" spans="2:47" x14ac:dyDescent="0.15">
      <c r="B28" s="653">
        <v>7998</v>
      </c>
      <c r="C28" s="391" t="s">
        <v>365</v>
      </c>
      <c r="E28" s="793">
        <v>0</v>
      </c>
      <c r="F28" s="654">
        <f>E28/'État des Résultats'!E$14</f>
        <v>0</v>
      </c>
      <c r="H28" s="793">
        <v>0</v>
      </c>
      <c r="I28" s="654">
        <f>H28/'État des Résultats'!H$14</f>
        <v>0</v>
      </c>
      <c r="K28" s="793">
        <v>0</v>
      </c>
      <c r="L28" s="654">
        <f>K28/'État des Résultats'!K$14</f>
        <v>0</v>
      </c>
      <c r="N28" s="793">
        <v>0</v>
      </c>
      <c r="O28" s="654">
        <f>N28/'État des Résultats'!N$14</f>
        <v>0</v>
      </c>
      <c r="Q28" s="793">
        <v>0</v>
      </c>
      <c r="R28" s="654">
        <f>Q28/'État des Résultats'!Q$14</f>
        <v>0</v>
      </c>
      <c r="T28" s="793">
        <v>0</v>
      </c>
      <c r="U28" s="654">
        <f>T28/'État des Résultats'!T$14</f>
        <v>0</v>
      </c>
      <c r="W28" s="793">
        <v>0</v>
      </c>
      <c r="X28" s="654">
        <f>W28/'État des Résultats'!W$14</f>
        <v>0</v>
      </c>
      <c r="Z28" s="793">
        <v>0</v>
      </c>
      <c r="AA28" s="654">
        <f>Z28/'État des Résultats'!Z$14</f>
        <v>0</v>
      </c>
      <c r="AC28" s="793">
        <v>0</v>
      </c>
      <c r="AD28" s="654">
        <f>AC28/'État des Résultats'!AC$14</f>
        <v>0</v>
      </c>
      <c r="AF28" s="793">
        <v>0</v>
      </c>
      <c r="AG28" s="654">
        <f>AF28/'État des Résultats'!AF$14</f>
        <v>0</v>
      </c>
      <c r="AI28" s="793">
        <v>0</v>
      </c>
      <c r="AJ28" s="654">
        <f>AI28/'État des Résultats'!AI$14</f>
        <v>0</v>
      </c>
      <c r="AL28" s="793">
        <v>0</v>
      </c>
      <c r="AM28" s="654">
        <f>AL28/'État des Résultats'!AL$14</f>
        <v>0</v>
      </c>
      <c r="AP28" s="796">
        <f t="shared" si="0"/>
        <v>0</v>
      </c>
      <c r="AQ28" s="656">
        <f>AP28/'État des Résultats'!$AP$14</f>
        <v>0</v>
      </c>
    </row>
    <row r="29" spans="2:47" x14ac:dyDescent="0.15">
      <c r="B29" s="653">
        <v>7999</v>
      </c>
      <c r="C29" s="391" t="s">
        <v>366</v>
      </c>
      <c r="E29" s="793">
        <f>(0.01*'État des Résultats'!E14)</f>
        <v>729.86666666666667</v>
      </c>
      <c r="F29" s="654">
        <f>E29/'État des Résultats'!E$14</f>
        <v>0.01</v>
      </c>
      <c r="H29" s="1069">
        <f>(0.01*'État des Résultats'!H14)</f>
        <v>707.44166666666672</v>
      </c>
      <c r="I29" s="654">
        <f>H29/'État des Résultats'!H$14</f>
        <v>0.01</v>
      </c>
      <c r="K29" s="1069">
        <f>(0.01*'État des Résultats'!K14)</f>
        <v>788.32500000000005</v>
      </c>
      <c r="L29" s="654">
        <f>K29/'État des Résultats'!K$14</f>
        <v>0.01</v>
      </c>
      <c r="N29" s="1069">
        <f>(0.01*'État des Résultats'!N14)</f>
        <v>827.38017500000001</v>
      </c>
      <c r="O29" s="654">
        <f>N29/'État des Résultats'!N$14</f>
        <v>0.01</v>
      </c>
      <c r="Q29" s="1069">
        <f>(0.01*'État des Résultats'!Q14)</f>
        <v>890.81066666666663</v>
      </c>
      <c r="R29" s="654">
        <f>Q29/'État des Résultats'!Q$14</f>
        <v>0.01</v>
      </c>
      <c r="T29" s="1069">
        <f>(0.01*'État des Résultats'!T14)</f>
        <v>915.46703333333335</v>
      </c>
      <c r="U29" s="654">
        <f>T29/'État des Résultats'!T$14</f>
        <v>0.01</v>
      </c>
      <c r="W29" s="1069">
        <f>(0.01*'État des Résultats'!W14)</f>
        <v>983.31755000000021</v>
      </c>
      <c r="X29" s="654">
        <f>W29/'État des Résultats'!W$14</f>
        <v>0.01</v>
      </c>
      <c r="Z29" s="1069">
        <f>(0.01*'État des Résultats'!Z14)</f>
        <v>996.29660000000001</v>
      </c>
      <c r="AA29" s="654">
        <f>Z29/'État des Résultats'!Z$14</f>
        <v>0.01</v>
      </c>
      <c r="AC29" s="1069">
        <f>(0.01*'État des Résultats'!AC14)</f>
        <v>911.00570000000005</v>
      </c>
      <c r="AD29" s="654">
        <f>AC29/'État des Résultats'!AC$14</f>
        <v>0.01</v>
      </c>
      <c r="AF29" s="1069">
        <f>(0.01*'État des Résultats'!AF14)</f>
        <v>943.58631666666679</v>
      </c>
      <c r="AG29" s="654">
        <f>AF29/'État des Résultats'!AF$14</f>
        <v>0.01</v>
      </c>
      <c r="AI29" s="1069">
        <f>(0.01*'État des Résultats'!AI14)</f>
        <v>877.07051666666666</v>
      </c>
      <c r="AJ29" s="654">
        <f>AI29/'État des Résultats'!AI$14</f>
        <v>0.01</v>
      </c>
      <c r="AL29" s="1069">
        <f>(0.01*'État des Résultats'!AL14)</f>
        <v>974.71230000000014</v>
      </c>
      <c r="AM29" s="654">
        <f>AL29/'État des Résultats'!AL$14</f>
        <v>0.01</v>
      </c>
      <c r="AP29" s="796">
        <f t="shared" si="0"/>
        <v>10545.280191666669</v>
      </c>
      <c r="AQ29" s="656">
        <f>AP29/'État des Résultats'!$AP$14</f>
        <v>1.0000000000000004E-2</v>
      </c>
    </row>
    <row r="30" spans="2:47" ht="14" thickBot="1" x14ac:dyDescent="0.2">
      <c r="B30" s="689"/>
      <c r="C30" s="690"/>
      <c r="D30" s="682"/>
      <c r="E30" s="797"/>
      <c r="F30" s="687"/>
      <c r="G30" s="682"/>
      <c r="H30" s="797"/>
      <c r="I30" s="687"/>
      <c r="J30" s="682"/>
      <c r="K30" s="797"/>
      <c r="L30" s="687"/>
      <c r="M30" s="682"/>
      <c r="N30" s="797"/>
      <c r="O30" s="687"/>
      <c r="P30" s="682"/>
      <c r="Q30" s="797"/>
      <c r="R30" s="687"/>
      <c r="S30" s="682"/>
      <c r="T30" s="797"/>
      <c r="U30" s="687"/>
      <c r="V30" s="682"/>
      <c r="W30" s="797"/>
      <c r="X30" s="687"/>
      <c r="Y30" s="682"/>
      <c r="Z30" s="797"/>
      <c r="AA30" s="687"/>
      <c r="AB30" s="682"/>
      <c r="AC30" s="797"/>
      <c r="AD30" s="687"/>
      <c r="AE30" s="682"/>
      <c r="AF30" s="797"/>
      <c r="AG30" s="687"/>
      <c r="AH30" s="682"/>
      <c r="AI30" s="797"/>
      <c r="AJ30" s="687"/>
      <c r="AK30" s="682"/>
      <c r="AL30" s="797"/>
      <c r="AM30" s="687"/>
      <c r="AN30" s="682"/>
      <c r="AO30" s="682"/>
      <c r="AP30" s="796"/>
      <c r="AQ30" s="688"/>
    </row>
    <row r="31" spans="2:47" ht="15" thickTop="1" thickBot="1" x14ac:dyDescent="0.2">
      <c r="B31" s="469">
        <v>7900</v>
      </c>
      <c r="C31" s="470" t="s">
        <v>367</v>
      </c>
      <c r="D31" s="213"/>
      <c r="E31" s="795">
        <f>SUM(E13:E29)</f>
        <v>1229.8666666666668</v>
      </c>
      <c r="F31" s="662">
        <f>E31/'État des Résultats'!E14</f>
        <v>1.6850566313481915E-2</v>
      </c>
      <c r="G31" s="213"/>
      <c r="H31" s="795">
        <f>SUM(H13:H29)</f>
        <v>1207.4416666666666</v>
      </c>
      <c r="I31" s="662">
        <f>H31/'État des Résultats'!H14</f>
        <v>1.7067720542329756E-2</v>
      </c>
      <c r="J31" s="213"/>
      <c r="K31" s="795">
        <f>SUM(K13:K29)</f>
        <v>1288.325</v>
      </c>
      <c r="L31" s="662">
        <f>K31/'État des Résultats'!K14</f>
        <v>1.6342561760695144E-2</v>
      </c>
      <c r="M31" s="213"/>
      <c r="N31" s="795">
        <f>SUM(N13:N29)</f>
        <v>1327.380175</v>
      </c>
      <c r="O31" s="662">
        <f>N31/'État des Résultats'!N14</f>
        <v>1.6043171145598212E-2</v>
      </c>
      <c r="P31" s="213"/>
      <c r="Q31" s="795">
        <f>SUM(Q13:Q29)</f>
        <v>1390.8106666666667</v>
      </c>
      <c r="R31" s="662">
        <f>Q31/'État des Résultats'!Q14</f>
        <v>1.5612864985900483E-2</v>
      </c>
      <c r="S31" s="213"/>
      <c r="T31" s="795">
        <f>SUM(T13:T29)</f>
        <v>1415.4670333333333</v>
      </c>
      <c r="U31" s="662">
        <f>T31/'État des Résultats'!T14</f>
        <v>1.5461693122683353E-2</v>
      </c>
      <c r="V31" s="213"/>
      <c r="W31" s="795">
        <f>SUM(W13:W29)</f>
        <v>1483.3175500000002</v>
      </c>
      <c r="X31" s="662">
        <f>W31/'État des Résultats'!W14</f>
        <v>1.5084827378500464E-2</v>
      </c>
      <c r="Y31" s="213"/>
      <c r="Z31" s="795">
        <f>SUM(Z13:Z29)</f>
        <v>1496.2966000000001</v>
      </c>
      <c r="AA31" s="662">
        <f>Z31/'État des Résultats'!Z14</f>
        <v>1.5018585830765659E-2</v>
      </c>
      <c r="AB31" s="213"/>
      <c r="AC31" s="795">
        <f>SUM(AC13:AC29)</f>
        <v>1411.0057000000002</v>
      </c>
      <c r="AD31" s="662">
        <f>AC31/'État des Résultats'!AC14</f>
        <v>1.5488439863768142E-2</v>
      </c>
      <c r="AE31" s="213"/>
      <c r="AF31" s="795">
        <f>SUM(AF13:AF29)</f>
        <v>1443.5863166666668</v>
      </c>
      <c r="AG31" s="662">
        <f>AF31/'État des Résultats'!AF14</f>
        <v>1.5298932288105985E-2</v>
      </c>
      <c r="AH31" s="213"/>
      <c r="AI31" s="795">
        <f>SUM(AI13:AI29)</f>
        <v>1377.0705166666667</v>
      </c>
      <c r="AJ31" s="662">
        <f>AI31/'État des Résultats'!AI14</f>
        <v>1.5700795893815532E-2</v>
      </c>
      <c r="AK31" s="213"/>
      <c r="AL31" s="795">
        <f>SUM(AL13:AL29)</f>
        <v>1474.7123000000001</v>
      </c>
      <c r="AM31" s="662">
        <f>AL31/'État des Résultats'!AL14</f>
        <v>1.5129718789841885E-2</v>
      </c>
      <c r="AN31" s="213"/>
      <c r="AO31" s="213"/>
      <c r="AP31" s="795">
        <f>SUM(AP13:AP29)</f>
        <v>16545.280191666669</v>
      </c>
      <c r="AQ31" s="662">
        <f>AP31/'État des Résultats'!AP14</f>
        <v>1.5689749244160871E-2</v>
      </c>
      <c r="AR31" s="213"/>
      <c r="AS31" s="213"/>
      <c r="AT31" s="213"/>
      <c r="AU31" s="251"/>
    </row>
    <row r="32" spans="2:47" ht="14" thickTop="1" x14ac:dyDescent="0.15">
      <c r="L32" s="314"/>
      <c r="O32" s="314"/>
      <c r="R32" s="314"/>
      <c r="U32" s="314"/>
      <c r="X32" s="314"/>
      <c r="AA32" s="314"/>
      <c r="AD32" s="314"/>
      <c r="AG32" s="314"/>
      <c r="AJ32" s="314"/>
      <c r="AM32" s="314"/>
      <c r="AQ32" s="314"/>
    </row>
    <row r="33" spans="3:69" x14ac:dyDescent="0.15">
      <c r="R33" s="314"/>
      <c r="U33" s="314"/>
      <c r="X33" s="314"/>
      <c r="AD33" s="314"/>
      <c r="AG33" s="314"/>
      <c r="AJ33" s="314"/>
      <c r="AM33" s="314"/>
    </row>
    <row r="34" spans="3:69" x14ac:dyDescent="0.15">
      <c r="U34" s="314"/>
      <c r="AG34" s="314"/>
      <c r="AJ34" s="314"/>
      <c r="AM34" s="314"/>
    </row>
    <row r="35" spans="3:69" x14ac:dyDescent="0.15">
      <c r="C35" s="161" t="s">
        <v>2</v>
      </c>
      <c r="E35" s="161" t="s">
        <v>2</v>
      </c>
      <c r="G35" s="161" t="s">
        <v>2</v>
      </c>
      <c r="H35" s="161" t="s">
        <v>2</v>
      </c>
      <c r="U35" s="314"/>
      <c r="AG35" s="314"/>
      <c r="AJ35" s="314"/>
      <c r="AM35" s="314"/>
    </row>
    <row r="36" spans="3:69" x14ac:dyDescent="0.15">
      <c r="H36" s="161" t="s">
        <v>2</v>
      </c>
      <c r="AG36" s="314"/>
      <c r="AJ36" s="314"/>
      <c r="AM36" s="314"/>
    </row>
    <row r="37" spans="3:69" x14ac:dyDescent="0.15">
      <c r="H37" s="161" t="s">
        <v>2</v>
      </c>
      <c r="AM37" s="314"/>
    </row>
    <row r="38" spans="3:69" x14ac:dyDescent="0.15">
      <c r="H38" s="161" t="s">
        <v>2</v>
      </c>
      <c r="BB38" s="170"/>
      <c r="BC38" s="170"/>
      <c r="BD38" s="170"/>
      <c r="BE38" s="170"/>
      <c r="BF38" s="170"/>
      <c r="BG38" s="170"/>
      <c r="BH38" s="170"/>
      <c r="BI38" s="170"/>
      <c r="BJ38" s="170"/>
      <c r="BK38" s="170"/>
      <c r="BL38" s="170"/>
      <c r="BM38" s="170"/>
      <c r="BN38" s="170"/>
      <c r="BO38" s="170"/>
      <c r="BP38" s="170"/>
      <c r="BQ38" s="170"/>
    </row>
    <row r="39" spans="3:69" x14ac:dyDescent="0.15">
      <c r="H39" s="161" t="s">
        <v>2</v>
      </c>
    </row>
    <row r="40" spans="3:69" x14ac:dyDescent="0.15">
      <c r="H40" s="161" t="s">
        <v>2</v>
      </c>
    </row>
    <row r="50" spans="8:8" x14ac:dyDescent="0.15">
      <c r="H50" s="663"/>
    </row>
  </sheetData>
  <sheetProtection algorithmName="SHA-512" hashValue="z41jWRtnUgvB2m0paKN9IjS7AlLX7qnyvD08qzQntdCAtgdJaf05EfUciD7//NySz/JypVO1bHCavN7HTUcTJQ==" saltValue="kx8jeUXrcRn2rsUAu+T+xA==" spinCount="100000" sheet="1" objects="1" scenarios="1"/>
  <mergeCells count="9">
    <mergeCell ref="BC2:BC8"/>
    <mergeCell ref="B6:C6"/>
    <mergeCell ref="B7:C7"/>
    <mergeCell ref="B8:C8"/>
    <mergeCell ref="B9:C9"/>
    <mergeCell ref="B2:C2"/>
    <mergeCell ref="B3:C3"/>
    <mergeCell ref="B4:C4"/>
    <mergeCell ref="AS2:AS8"/>
  </mergeCells>
  <hyperlinks>
    <hyperlink ref="C11" r:id="rId1" xr:uid="{3E33FB46-F15F-5C4C-B802-59F0EF5C2F99}"/>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ignoredErrors>
    <ignoredError sqref="E14 H14 K14 N14 Q14 T14 W14 Z14 AC14 AF14 AI14 AL14" unlockedFormula="1"/>
  </ignoredError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16988-0F07-0049-BB2C-F5316A9FB195}">
  <sheetPr>
    <tabColor theme="1"/>
    <pageSetUpPr fitToPage="1"/>
  </sheetPr>
  <dimension ref="B1:BQ43"/>
  <sheetViews>
    <sheetView zoomScale="108" zoomScaleNormal="108" zoomScalePageLayoutView="125" workbookViewId="0">
      <selection activeCell="A13" sqref="A13"/>
    </sheetView>
  </sheetViews>
  <sheetFormatPr baseColWidth="10" defaultRowHeight="13" x14ac:dyDescent="0.15"/>
  <cols>
    <col min="1" max="1" width="2.1640625" style="161" customWidth="1"/>
    <col min="2" max="2" width="5.1640625" style="161" customWidth="1"/>
    <col min="3" max="3" width="75.6640625" style="161" bestFit="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6640625" style="161" customWidth="1"/>
    <col min="45" max="45" width="8.5" style="161" bestFit="1" customWidth="1"/>
    <col min="46" max="46" width="14.5" style="161" bestFit="1" customWidth="1"/>
    <col min="47" max="47" width="2.6640625" style="161" bestFit="1" customWidth="1"/>
    <col min="48" max="48" width="26.83203125" style="161" bestFit="1" customWidth="1"/>
    <col min="49" max="49" width="2.6640625" style="161" bestFit="1" customWidth="1"/>
    <col min="50" max="50" width="2.1640625" style="161" bestFit="1" customWidth="1"/>
    <col min="51" max="51" width="10.83203125" style="161"/>
    <col min="52" max="52" width="2.6640625" style="161" bestFit="1" customWidth="1"/>
    <col min="53" max="53" width="10.83203125" style="161"/>
    <col min="54" max="54" width="2.1640625" style="161" bestFit="1" customWidth="1"/>
    <col min="55" max="55" width="8.5" style="161" bestFit="1" customWidth="1"/>
    <col min="56" max="16384" width="10.83203125" style="161"/>
  </cols>
  <sheetData>
    <row r="1" spans="2:56" ht="14" thickBot="1" x14ac:dyDescent="0.2"/>
    <row r="2" spans="2:56" ht="17" thickTop="1" x14ac:dyDescent="0.2">
      <c r="B2" s="1430" t="str">
        <f>'État des Résultats'!C2</f>
        <v>Les Multiples Plaisirs gourmands</v>
      </c>
      <c r="C2" s="1431"/>
      <c r="AS2" s="1388" t="s">
        <v>42</v>
      </c>
      <c r="AT2" s="366"/>
      <c r="AU2" s="366"/>
      <c r="AV2" s="366"/>
      <c r="AW2" s="366"/>
      <c r="AX2" s="366"/>
      <c r="AY2" s="366"/>
      <c r="AZ2" s="366"/>
      <c r="BA2" s="366"/>
      <c r="BB2" s="366"/>
      <c r="BC2" s="1391" t="s">
        <v>43</v>
      </c>
    </row>
    <row r="3" spans="2:56" ht="16" x14ac:dyDescent="0.2">
      <c r="B3" s="1432" t="str">
        <f>'État des Résultats'!C3</f>
        <v xml:space="preserve">États des résultats </v>
      </c>
      <c r="C3" s="1433"/>
      <c r="AS3" s="1389"/>
      <c r="AT3" s="367"/>
      <c r="AU3" s="367"/>
      <c r="AV3" s="367"/>
      <c r="AW3" s="367"/>
      <c r="AX3" s="367"/>
      <c r="AY3" s="367"/>
      <c r="AZ3" s="367"/>
      <c r="BA3" s="367"/>
      <c r="BB3" s="367"/>
      <c r="BC3" s="1392"/>
    </row>
    <row r="4" spans="2:56" ht="22" thickBot="1" x14ac:dyDescent="0.3">
      <c r="B4" s="1434" t="str">
        <f>'État des Résultats'!C4</f>
        <v>Pour la période du 1er janvier 2021 au 31 décembre 2021</v>
      </c>
      <c r="C4" s="1435"/>
      <c r="AS4" s="1389"/>
      <c r="AT4" s="368" t="str">
        <f>'Formule pour le calcul D'!BA103</f>
        <v>Coût annuel</v>
      </c>
      <c r="AU4" s="368" t="s">
        <v>44</v>
      </c>
      <c r="AV4" s="368" t="str">
        <f>'Formule pour le calcul D'!BC103</f>
        <v>Achalandage annuelle</v>
      </c>
      <c r="AW4" s="368" t="s">
        <v>45</v>
      </c>
      <c r="AX4" s="368" t="s">
        <v>46</v>
      </c>
      <c r="AY4" s="368" t="str">
        <f>'Formule pour le calcul D'!BF103</f>
        <v>Um/A</v>
      </c>
      <c r="AZ4" s="368" t="s">
        <v>45</v>
      </c>
      <c r="BA4" s="368" t="str">
        <f>'Formule pour le calcul D'!BH103</f>
        <v>CmO</v>
      </c>
      <c r="BB4" s="368" t="s">
        <v>49</v>
      </c>
      <c r="BC4" s="1392"/>
    </row>
    <row r="5" spans="2:56" ht="21" thickTop="1" thickBot="1" x14ac:dyDescent="0.3">
      <c r="AS5" s="1389"/>
      <c r="AT5" s="369" t="s">
        <v>2</v>
      </c>
      <c r="AU5" s="370"/>
      <c r="AV5" s="369"/>
      <c r="AW5" s="370"/>
      <c r="AX5" s="370"/>
      <c r="AY5" s="370"/>
      <c r="AZ5" s="370"/>
      <c r="BA5" s="370"/>
      <c r="BB5" s="370"/>
      <c r="BC5" s="1392"/>
    </row>
    <row r="6" spans="2:56" ht="27" thickTop="1" x14ac:dyDescent="0.3">
      <c r="B6" s="1406" t="str">
        <f>'Coût marchandises vendues'!B6</f>
        <v>Nb de places</v>
      </c>
      <c r="C6" s="1448"/>
      <c r="E6" s="637" t="str">
        <f>'Coût marchandises vendues'!D6</f>
        <v>Coût / place / jour</v>
      </c>
      <c r="F6" s="638">
        <f>+E24/$B$7/'Calendrier 2021'!D8</f>
        <v>0.8803763440860215</v>
      </c>
      <c r="G6" s="170"/>
      <c r="H6" s="637" t="str">
        <f>+E6</f>
        <v>Coût / place / jour</v>
      </c>
      <c r="I6" s="638">
        <f>+H24/$B$7/'Calendrier 2021'!E8</f>
        <v>0.97470238095238104</v>
      </c>
      <c r="J6" s="170"/>
      <c r="K6" s="637" t="str">
        <f>+H6</f>
        <v>Coût / place / jour</v>
      </c>
      <c r="L6" s="638">
        <f>+K24/$B$7/'Calendrier 2021'!F8</f>
        <v>0.8803763440860215</v>
      </c>
      <c r="M6" s="170"/>
      <c r="N6" s="637" t="str">
        <f>+K6</f>
        <v>Coût / place / jour</v>
      </c>
      <c r="O6" s="638">
        <f>+N24/$B$7/'Calendrier 2021'!G8</f>
        <v>0.90972222222222221</v>
      </c>
      <c r="P6" s="422"/>
      <c r="Q6" s="637" t="str">
        <f>+N6</f>
        <v>Coût / place / jour</v>
      </c>
      <c r="R6" s="638">
        <f>+Q24/$B$7/'Calendrier 2021'!H8</f>
        <v>0.8803763440860215</v>
      </c>
      <c r="S6" s="422"/>
      <c r="T6" s="637" t="str">
        <f>+Q6</f>
        <v>Coût / place / jour</v>
      </c>
      <c r="U6" s="638">
        <f>+T24/$B$7/'Calendrier 2021'!I8</f>
        <v>0.90972222222222221</v>
      </c>
      <c r="V6" s="170"/>
      <c r="W6" s="637" t="str">
        <f>+T6</f>
        <v>Coût / place / jour</v>
      </c>
      <c r="X6" s="638">
        <f>+W24/$B$7/'Calendrier 2021'!J8</f>
        <v>0.8803763440860215</v>
      </c>
      <c r="Y6" s="170"/>
      <c r="Z6" s="637" t="str">
        <f>+W6</f>
        <v>Coût / place / jour</v>
      </c>
      <c r="AA6" s="638">
        <f>+Z24/$B$7/'Calendrier 2021'!K8</f>
        <v>0.8803763440860215</v>
      </c>
      <c r="AB6" s="170"/>
      <c r="AC6" s="637" t="str">
        <f>+Z6</f>
        <v>Coût / place / jour</v>
      </c>
      <c r="AD6" s="638">
        <f>+AC24/$B$7/'Calendrier 2021'!L8</f>
        <v>0.90972222222222221</v>
      </c>
      <c r="AE6" s="170"/>
      <c r="AF6" s="637" t="str">
        <f>+AC6</f>
        <v>Coût / place / jour</v>
      </c>
      <c r="AG6" s="638">
        <f>+AF24/$B$7/'Calendrier 2021'!M8</f>
        <v>0.8803763440860215</v>
      </c>
      <c r="AH6" s="170"/>
      <c r="AI6" s="637" t="str">
        <f>+AF6</f>
        <v>Coût / place / jour</v>
      </c>
      <c r="AJ6" s="638">
        <f>+AI24/$B$7/'Calendrier 2021'!N8</f>
        <v>0.90972222222222221</v>
      </c>
      <c r="AK6" s="170"/>
      <c r="AL6" s="637" t="str">
        <f>+AI6</f>
        <v>Coût / place / jour</v>
      </c>
      <c r="AM6" s="638">
        <f>+AL24/$B$7/'Calendrier 2021'!O8</f>
        <v>0.8803763440860215</v>
      </c>
      <c r="AN6" s="170"/>
      <c r="AO6" s="170"/>
      <c r="AP6" s="639" t="str">
        <f>+AL6</f>
        <v>Coût / place / jour</v>
      </c>
      <c r="AQ6" s="640">
        <f>+AP24/$B$7/'% Occupation'!P9</f>
        <v>0.89726027397260277</v>
      </c>
      <c r="AS6" s="1389"/>
      <c r="AT6" s="371" t="str">
        <f>'Formule pour le calcul D'!BA105</f>
        <v xml:space="preserve">C </v>
      </c>
      <c r="AU6" s="372"/>
      <c r="AV6" s="371" t="str">
        <f>'Formule pour le calcul D'!BC105</f>
        <v>A</v>
      </c>
      <c r="AW6" s="372"/>
      <c r="AX6" s="372"/>
      <c r="AY6" s="371" t="str">
        <f>AY4</f>
        <v>Um/A</v>
      </c>
      <c r="AZ6" s="372"/>
      <c r="BA6" s="371" t="str">
        <f>BA4</f>
        <v>CmO</v>
      </c>
      <c r="BB6" s="372"/>
      <c r="BC6" s="1392"/>
    </row>
    <row r="7" spans="2:56" ht="21" x14ac:dyDescent="0.25">
      <c r="B7" s="1438">
        <f>'Coût marchandises vendues'!B7</f>
        <v>30</v>
      </c>
      <c r="C7" s="1437"/>
      <c r="E7" s="424">
        <f>+E24/$AP24</f>
        <v>8.3333333333333329E-2</v>
      </c>
      <c r="F7" s="641"/>
      <c r="H7" s="424">
        <f>+H24/$AP24</f>
        <v>8.3333333333333329E-2</v>
      </c>
      <c r="I7" s="641"/>
      <c r="K7" s="424">
        <f>+K24/$AP24</f>
        <v>8.3333333333333329E-2</v>
      </c>
      <c r="L7" s="425"/>
      <c r="N7" s="424">
        <f>+N24/$AP24</f>
        <v>8.3333333333333329E-2</v>
      </c>
      <c r="O7" s="425"/>
      <c r="P7" s="642"/>
      <c r="Q7" s="424">
        <f>+Q24/$AP24</f>
        <v>8.3333333333333329E-2</v>
      </c>
      <c r="R7" s="425"/>
      <c r="S7" s="642"/>
      <c r="T7" s="424">
        <f>+T24/$AP24</f>
        <v>8.3333333333333329E-2</v>
      </c>
      <c r="U7" s="425"/>
      <c r="W7" s="424">
        <f>+W24/$AP24</f>
        <v>8.3333333333333329E-2</v>
      </c>
      <c r="X7" s="425"/>
      <c r="Z7" s="424">
        <f>+Z24/$AP24</f>
        <v>8.3333333333333329E-2</v>
      </c>
      <c r="AA7" s="425"/>
      <c r="AC7" s="424">
        <f>+AC24/$AP24</f>
        <v>8.3333333333333329E-2</v>
      </c>
      <c r="AD7" s="425"/>
      <c r="AF7" s="424">
        <f>+AF24/$AP24</f>
        <v>8.3333333333333329E-2</v>
      </c>
      <c r="AG7" s="425"/>
      <c r="AI7" s="424">
        <f>+AI24/$AP24</f>
        <v>8.3333333333333329E-2</v>
      </c>
      <c r="AJ7" s="425"/>
      <c r="AL7" s="424">
        <f>+AL24/$AP24</f>
        <v>8.3333333333333329E-2</v>
      </c>
      <c r="AM7" s="425"/>
      <c r="AP7" s="643">
        <f>+AP24/$AP24</f>
        <v>1</v>
      </c>
      <c r="AQ7" s="718" t="s">
        <v>136</v>
      </c>
      <c r="AS7" s="1389"/>
      <c r="AT7" s="630">
        <f>AP24</f>
        <v>9825</v>
      </c>
      <c r="AU7" s="368" t="s">
        <v>44</v>
      </c>
      <c r="AV7" s="631">
        <f>'Formule pour le calcul D'!G106</f>
        <v>52000</v>
      </c>
      <c r="AW7" s="368" t="s">
        <v>45</v>
      </c>
      <c r="AX7" s="368" t="s">
        <v>46</v>
      </c>
      <c r="AY7" s="632">
        <f>'Formule pour le calcul D'!J106</f>
        <v>3.1499999999999995</v>
      </c>
      <c r="AZ7" s="368" t="s">
        <v>45</v>
      </c>
      <c r="BA7" s="633">
        <f>AT7/AV7/AY7</f>
        <v>5.9981684981684991E-2</v>
      </c>
      <c r="BB7" s="368" t="s">
        <v>49</v>
      </c>
      <c r="BC7" s="1392"/>
    </row>
    <row r="8" spans="2:56" ht="17" thickBot="1" x14ac:dyDescent="0.25">
      <c r="B8" s="1410" t="s">
        <v>334</v>
      </c>
      <c r="C8" s="1437"/>
      <c r="E8" s="646" t="str">
        <f>'Calendrier 2021'!D5</f>
        <v>Pér.01</v>
      </c>
      <c r="F8" s="645" t="str">
        <f>'État des Résultats'!F8</f>
        <v>(%)</v>
      </c>
      <c r="G8" s="382"/>
      <c r="H8" s="646" t="str">
        <f>'Calendrier 2021'!E5</f>
        <v>Pér.02</v>
      </c>
      <c r="I8" s="645" t="str">
        <f>F8</f>
        <v>(%)</v>
      </c>
      <c r="J8" s="382"/>
      <c r="K8" s="646" t="str">
        <f>'Calendrier 2021'!F5</f>
        <v>Pér.03</v>
      </c>
      <c r="L8" s="645" t="str">
        <f>I8</f>
        <v>(%)</v>
      </c>
      <c r="M8" s="382"/>
      <c r="N8" s="646" t="str">
        <f>'Calendrier 2021'!G5</f>
        <v>Pér.04</v>
      </c>
      <c r="O8" s="645" t="str">
        <f>L8</f>
        <v>(%)</v>
      </c>
      <c r="P8" s="426"/>
      <c r="Q8" s="646" t="str">
        <f>'Calendrier 2021'!H5</f>
        <v>Pér.05</v>
      </c>
      <c r="R8" s="645" t="str">
        <f>O8</f>
        <v>(%)</v>
      </c>
      <c r="S8" s="426"/>
      <c r="T8" s="646" t="str">
        <f>'Calendrier 2021'!I5</f>
        <v>Pér.06</v>
      </c>
      <c r="U8" s="645" t="str">
        <f>R8</f>
        <v>(%)</v>
      </c>
      <c r="V8" s="382"/>
      <c r="W8" s="646" t="str">
        <f>'Calendrier 2021'!J5</f>
        <v>Pér.07</v>
      </c>
      <c r="X8" s="645" t="str">
        <f>U8</f>
        <v>(%)</v>
      </c>
      <c r="Y8" s="382"/>
      <c r="Z8" s="646" t="str">
        <f>'Calendrier 2021'!K5</f>
        <v>Pér.08</v>
      </c>
      <c r="AA8" s="645" t="str">
        <f>X8</f>
        <v>(%)</v>
      </c>
      <c r="AB8" s="382"/>
      <c r="AC8" s="646" t="str">
        <f>'Calendrier 2021'!L5</f>
        <v>Pér.09</v>
      </c>
      <c r="AD8" s="645" t="str">
        <f>AA8</f>
        <v>(%)</v>
      </c>
      <c r="AE8" s="382"/>
      <c r="AF8" s="646" t="str">
        <f>'Calendrier 2021'!M5</f>
        <v>Pér.10</v>
      </c>
      <c r="AG8" s="645" t="str">
        <f>AD8</f>
        <v>(%)</v>
      </c>
      <c r="AH8" s="382"/>
      <c r="AI8" s="646" t="str">
        <f>'Calendrier 2021'!N5</f>
        <v>Pér.11</v>
      </c>
      <c r="AJ8" s="645" t="str">
        <f>AG8</f>
        <v>(%)</v>
      </c>
      <c r="AK8" s="382"/>
      <c r="AL8" s="646" t="str">
        <f>'Calendrier 2021'!O5</f>
        <v>Pér.12</v>
      </c>
      <c r="AM8" s="645" t="str">
        <f>AJ8</f>
        <v>(%)</v>
      </c>
      <c r="AN8" s="647" t="s">
        <v>2</v>
      </c>
      <c r="AO8" s="382"/>
      <c r="AP8" s="648" t="str">
        <f>'État des Résultats'!AP8</f>
        <v>Total</v>
      </c>
      <c r="AQ8" s="645" t="str">
        <f>AM8</f>
        <v>(%)</v>
      </c>
      <c r="AS8" s="1390"/>
      <c r="AT8" s="373"/>
      <c r="AU8" s="373"/>
      <c r="AV8" s="373"/>
      <c r="AW8" s="373"/>
      <c r="AX8" s="373"/>
      <c r="AY8" s="373"/>
      <c r="AZ8" s="373"/>
      <c r="BA8" s="373"/>
      <c r="BB8" s="373"/>
      <c r="BC8" s="1393"/>
    </row>
    <row r="9" spans="2:56" ht="15" thickTop="1" thickBot="1" x14ac:dyDescent="0.2">
      <c r="B9" s="1446">
        <f>AP24/$B$7</f>
        <v>327.5</v>
      </c>
      <c r="C9" s="1447"/>
      <c r="E9" s="664" t="str">
        <f>'Calendrier 2021'!D6</f>
        <v>Janvier 2021</v>
      </c>
      <c r="F9" s="665"/>
      <c r="G9" s="292"/>
      <c r="H9" s="666" t="str">
        <f>'Calendrier 2021'!E6</f>
        <v>Février 2021</v>
      </c>
      <c r="I9" s="667"/>
      <c r="J9" s="292"/>
      <c r="K9" s="666" t="str">
        <f>'Calendrier 2021'!F6</f>
        <v>Mars 2021</v>
      </c>
      <c r="L9" s="667"/>
      <c r="M9" s="292"/>
      <c r="N9" s="664" t="str">
        <f>'Calendrier 2021'!G6</f>
        <v>Avril 2021</v>
      </c>
      <c r="O9" s="665"/>
      <c r="P9" s="668"/>
      <c r="Q9" s="664" t="str">
        <f>'Calendrier 2021'!H6</f>
        <v>Mai 2021</v>
      </c>
      <c r="R9" s="665"/>
      <c r="S9" s="668"/>
      <c r="T9" s="666" t="str">
        <f>'Calendrier 2021'!I6</f>
        <v>Juin 2021</v>
      </c>
      <c r="U9" s="667"/>
      <c r="V9" s="292"/>
      <c r="W9" s="666" t="str">
        <f>'Calendrier 2021'!J6</f>
        <v>Juillet 2021</v>
      </c>
      <c r="X9" s="667"/>
      <c r="Y9" s="292"/>
      <c r="Z9" s="666" t="str">
        <f>'Calendrier 2021'!K6</f>
        <v>Août 2021</v>
      </c>
      <c r="AA9" s="667"/>
      <c r="AB9" s="292"/>
      <c r="AC9" s="666" t="str">
        <f>'Calendrier 2021'!L6</f>
        <v>Septembre 2021</v>
      </c>
      <c r="AD9" s="667"/>
      <c r="AE9" s="292"/>
      <c r="AF9" s="666" t="str">
        <f>'Calendrier 2021'!M6</f>
        <v>Octobre 2021</v>
      </c>
      <c r="AG9" s="667"/>
      <c r="AH9" s="292"/>
      <c r="AI9" s="666" t="str">
        <f>'Calendrier 2021'!N6</f>
        <v>Novembre 2021</v>
      </c>
      <c r="AJ9" s="667"/>
      <c r="AK9" s="292"/>
      <c r="AL9" s="666" t="str">
        <f>'Calendrier 2021'!O6</f>
        <v>Décembre 2021</v>
      </c>
      <c r="AM9" s="667"/>
      <c r="AN9" s="292"/>
      <c r="AO9" s="292"/>
      <c r="AP9" s="669" t="str">
        <f>'État des Résultats'!AP9</f>
        <v>Année</v>
      </c>
      <c r="AQ9" s="670"/>
      <c r="AR9" s="671"/>
      <c r="AS9" s="671"/>
      <c r="AT9" s="328"/>
      <c r="AU9" s="328"/>
      <c r="AV9" s="328"/>
      <c r="AW9" s="328"/>
      <c r="AX9" s="649"/>
      <c r="AY9" s="649"/>
      <c r="AZ9" s="649"/>
    </row>
    <row r="10" spans="2:56" ht="15" thickTop="1" thickBot="1" x14ac:dyDescent="0.2">
      <c r="D10" s="251"/>
      <c r="G10" s="388"/>
      <c r="J10" s="388"/>
      <c r="M10" s="388"/>
      <c r="P10" s="433"/>
      <c r="S10" s="433"/>
      <c r="V10" s="388"/>
      <c r="Y10" s="187"/>
      <c r="AB10" s="388"/>
      <c r="AE10" s="388"/>
      <c r="AH10" s="388"/>
      <c r="AK10" s="388"/>
      <c r="AN10" s="388"/>
      <c r="AO10" s="388"/>
      <c r="AR10" s="170"/>
      <c r="AS10" s="170"/>
      <c r="AT10" s="170"/>
    </row>
    <row r="11" spans="2:56" ht="14" thickTop="1" x14ac:dyDescent="0.15">
      <c r="B11" s="650"/>
      <c r="C11" s="713" t="s">
        <v>369</v>
      </c>
      <c r="E11" s="650"/>
      <c r="F11" s="651"/>
      <c r="H11" s="650"/>
      <c r="I11" s="651"/>
      <c r="K11" s="650"/>
      <c r="L11" s="651"/>
      <c r="N11" s="650"/>
      <c r="O11" s="651"/>
      <c r="Q11" s="650"/>
      <c r="R11" s="651"/>
      <c r="T11" s="650"/>
      <c r="U11" s="651"/>
      <c r="W11" s="650"/>
      <c r="X11" s="651"/>
      <c r="Z11" s="650"/>
      <c r="AA11" s="651"/>
      <c r="AC11" s="650"/>
      <c r="AD11" s="651"/>
      <c r="AF11" s="650"/>
      <c r="AG11" s="651"/>
      <c r="AI11" s="650"/>
      <c r="AJ11" s="651"/>
      <c r="AL11" s="650"/>
      <c r="AM11" s="651"/>
      <c r="AP11" s="613"/>
      <c r="AQ11" s="615"/>
      <c r="AR11" s="187"/>
      <c r="AS11" s="187"/>
      <c r="AT11" s="187"/>
      <c r="AU11" s="187"/>
      <c r="AV11" s="187"/>
      <c r="AW11" s="187"/>
      <c r="AX11" s="187"/>
      <c r="AY11" s="187"/>
      <c r="AZ11" s="187"/>
      <c r="BA11" s="187"/>
      <c r="BB11" s="187"/>
      <c r="BC11" s="187"/>
      <c r="BD11" s="187"/>
    </row>
    <row r="12" spans="2:56" x14ac:dyDescent="0.15">
      <c r="B12" s="190"/>
      <c r="C12" s="652"/>
      <c r="E12" s="190"/>
      <c r="F12" s="391"/>
      <c r="H12" s="190"/>
      <c r="I12" s="391"/>
      <c r="K12" s="190"/>
      <c r="L12" s="391"/>
      <c r="N12" s="190"/>
      <c r="O12" s="391"/>
      <c r="Q12" s="190"/>
      <c r="R12" s="391"/>
      <c r="T12" s="190"/>
      <c r="U12" s="391"/>
      <c r="W12" s="190"/>
      <c r="X12" s="391"/>
      <c r="Z12" s="190"/>
      <c r="AA12" s="391"/>
      <c r="AC12" s="190"/>
      <c r="AD12" s="391"/>
      <c r="AF12" s="190"/>
      <c r="AG12" s="391"/>
      <c r="AI12" s="190"/>
      <c r="AJ12" s="391"/>
      <c r="AL12" s="190"/>
      <c r="AM12" s="191"/>
      <c r="AP12" s="193"/>
      <c r="AQ12" s="494"/>
      <c r="AR12" s="187"/>
      <c r="AS12" s="187"/>
      <c r="AT12" s="187"/>
      <c r="AU12" s="187"/>
      <c r="AV12" s="187"/>
      <c r="AW12" s="187"/>
      <c r="AX12" s="187"/>
      <c r="AY12" s="187"/>
      <c r="AZ12" s="187"/>
      <c r="BA12" s="187"/>
      <c r="BB12" s="187"/>
      <c r="BC12" s="187"/>
      <c r="BD12" s="187"/>
    </row>
    <row r="13" spans="2:56" x14ac:dyDescent="0.15">
      <c r="B13" s="704">
        <v>8110</v>
      </c>
      <c r="C13" s="705" t="s">
        <v>548</v>
      </c>
      <c r="E13" s="793">
        <f>+(125)+100</f>
        <v>225</v>
      </c>
      <c r="F13" s="654">
        <f>E13/'État des Résultats'!E$14</f>
        <v>3.0827548410668612E-3</v>
      </c>
      <c r="H13" s="793">
        <f>+E13</f>
        <v>225</v>
      </c>
      <c r="I13" s="654">
        <f>H13/'État des Résultats'!H$14</f>
        <v>3.18047424404839E-3</v>
      </c>
      <c r="K13" s="793">
        <f>+H13</f>
        <v>225</v>
      </c>
      <c r="L13" s="654">
        <f>K13/'État des Résultats'!K$14</f>
        <v>2.8541527923128152E-3</v>
      </c>
      <c r="N13" s="793">
        <f>+K13</f>
        <v>225</v>
      </c>
      <c r="O13" s="654">
        <f>N13/'État des Résultats'!N$14</f>
        <v>2.7194270155191957E-3</v>
      </c>
      <c r="Q13" s="793">
        <f>+N13</f>
        <v>225</v>
      </c>
      <c r="R13" s="654">
        <f>Q13/'État des Résultats'!Q$14</f>
        <v>2.5257892436552176E-3</v>
      </c>
      <c r="T13" s="793">
        <f>+Q13</f>
        <v>225</v>
      </c>
      <c r="U13" s="654">
        <f>T13/'État des Résultats'!T$14</f>
        <v>2.4577619052075094E-3</v>
      </c>
      <c r="W13" s="793">
        <f>+T13</f>
        <v>225</v>
      </c>
      <c r="X13" s="654">
        <f>W13/'État des Résultats'!W$14</f>
        <v>2.2881723203252088E-3</v>
      </c>
      <c r="Z13" s="793">
        <f>+W13</f>
        <v>225</v>
      </c>
      <c r="AA13" s="654">
        <f>Z13/'État des Résultats'!Z$14</f>
        <v>2.2583636238445457E-3</v>
      </c>
      <c r="AC13" s="793">
        <f>+Z13</f>
        <v>225</v>
      </c>
      <c r="AD13" s="654">
        <f>AC13/'État des Résultats'!AC$14</f>
        <v>2.4697979386956634E-3</v>
      </c>
      <c r="AF13" s="793">
        <f>+AC13</f>
        <v>225</v>
      </c>
      <c r="AG13" s="654">
        <f>AF13/'État des Résultats'!AF$14</f>
        <v>2.3845195296476936E-3</v>
      </c>
      <c r="AI13" s="793">
        <f>+AF13</f>
        <v>225</v>
      </c>
      <c r="AJ13" s="654">
        <f>AI13/'État des Résultats'!AI$14</f>
        <v>2.5653581522169892E-3</v>
      </c>
      <c r="AL13" s="793">
        <f>+AI13</f>
        <v>225</v>
      </c>
      <c r="AM13" s="654">
        <f>AL13/'État des Résultats'!AL$14</f>
        <v>2.3083734554288477E-3</v>
      </c>
      <c r="AP13" s="796">
        <f>SUM(+$AL13+$AI13+$AF13+$AC13+$Z13+$W13+$T13+$Q13+$N13+$K13+$H13+$E13)</f>
        <v>2700</v>
      </c>
      <c r="AQ13" s="656">
        <f>AP13/'État des Résultats'!AP$14</f>
        <v>2.5603871598723913E-3</v>
      </c>
    </row>
    <row r="14" spans="2:56" x14ac:dyDescent="0.15">
      <c r="B14" s="704">
        <v>8120</v>
      </c>
      <c r="C14" s="705" t="s">
        <v>545</v>
      </c>
      <c r="E14" s="793">
        <v>593.75</v>
      </c>
      <c r="F14" s="654">
        <f>E14/'État des Résultats'!E$14</f>
        <v>8.1350474972597727E-3</v>
      </c>
      <c r="H14" s="793">
        <v>593.75</v>
      </c>
      <c r="I14" s="654">
        <f>H14/'État des Résultats'!H$14</f>
        <v>8.3929181440165843E-3</v>
      </c>
      <c r="K14" s="793">
        <v>593.75</v>
      </c>
      <c r="L14" s="654">
        <f>K14/'État des Résultats'!K$14</f>
        <v>7.5317920908254841E-3</v>
      </c>
      <c r="N14" s="793">
        <v>593.75</v>
      </c>
      <c r="O14" s="654">
        <f>N14/'État des Résultats'!N$14</f>
        <v>7.1762657353978783E-3</v>
      </c>
      <c r="Q14" s="793">
        <v>593.75</v>
      </c>
      <c r="R14" s="654">
        <f>Q14/'État des Résultats'!Q$14</f>
        <v>6.6652771707568234E-3</v>
      </c>
      <c r="T14" s="793">
        <v>593.75</v>
      </c>
      <c r="U14" s="654">
        <f>T14/'État des Résultats'!T$14</f>
        <v>6.4857605831864836E-3</v>
      </c>
      <c r="W14" s="793">
        <v>593.75</v>
      </c>
      <c r="X14" s="654">
        <f>W14/'État des Résultats'!W$14</f>
        <v>6.0382325119693013E-3</v>
      </c>
      <c r="Z14" s="793">
        <v>593.75</v>
      </c>
      <c r="AA14" s="654">
        <f>Z14/'État des Résultats'!Z$14</f>
        <v>5.9595706740342182E-3</v>
      </c>
      <c r="AC14" s="793">
        <v>593.75</v>
      </c>
      <c r="AD14" s="654">
        <f>AC14/'État des Résultats'!AC$14</f>
        <v>6.5175223382246674E-3</v>
      </c>
      <c r="AF14" s="793">
        <v>593.75</v>
      </c>
      <c r="AG14" s="654">
        <f>AF14/'État des Résultats'!AF$14</f>
        <v>6.2924820921258576E-3</v>
      </c>
      <c r="AI14" s="793">
        <v>593.75</v>
      </c>
      <c r="AJ14" s="654">
        <f>AI14/'État des Résultats'!AI$14</f>
        <v>6.7696951239059437E-3</v>
      </c>
      <c r="AL14" s="793">
        <v>593.75</v>
      </c>
      <c r="AM14" s="654">
        <f>AL14/'État des Résultats'!AL$14</f>
        <v>6.0915410629372377E-3</v>
      </c>
      <c r="AP14" s="796">
        <f>SUM(+$AL14+$AI14+$AF14+$AC14+$Z14+$W14+$T14+$Q14+$N14+$K14+$H14+$E14)</f>
        <v>7125</v>
      </c>
      <c r="AQ14" s="656">
        <f>AP14/'État des Résultats'!AP$14</f>
        <v>6.7565772274410327E-3</v>
      </c>
    </row>
    <row r="15" spans="2:56" x14ac:dyDescent="0.15">
      <c r="B15" s="706">
        <v>8130</v>
      </c>
      <c r="C15" s="705" t="s">
        <v>537</v>
      </c>
      <c r="E15" s="793">
        <v>0</v>
      </c>
      <c r="F15" s="654">
        <f>E15/'État des Résultats'!E$14</f>
        <v>0</v>
      </c>
      <c r="H15" s="793">
        <v>0</v>
      </c>
      <c r="I15" s="654">
        <f>H15/'État des Résultats'!H$14</f>
        <v>0</v>
      </c>
      <c r="K15" s="793">
        <v>0</v>
      </c>
      <c r="L15" s="654">
        <f>K15/'État des Résultats'!K$14</f>
        <v>0</v>
      </c>
      <c r="N15" s="793">
        <v>0</v>
      </c>
      <c r="O15" s="654">
        <f>N15/'État des Résultats'!N$14</f>
        <v>0</v>
      </c>
      <c r="Q15" s="793">
        <v>0</v>
      </c>
      <c r="R15" s="654">
        <f>Q15/'État des Résultats'!Q$14</f>
        <v>0</v>
      </c>
      <c r="T15" s="793">
        <v>0</v>
      </c>
      <c r="U15" s="654">
        <f>T15/'État des Résultats'!T$14</f>
        <v>0</v>
      </c>
      <c r="W15" s="793">
        <v>0</v>
      </c>
      <c r="X15" s="654">
        <f>W15/'État des Résultats'!W$14</f>
        <v>0</v>
      </c>
      <c r="Z15" s="793">
        <v>0</v>
      </c>
      <c r="AA15" s="654">
        <f>Z15/'État des Résultats'!Z$14</f>
        <v>0</v>
      </c>
      <c r="AC15" s="793">
        <v>0</v>
      </c>
      <c r="AD15" s="654">
        <f>AC15/'État des Résultats'!AC$14</f>
        <v>0</v>
      </c>
      <c r="AF15" s="793">
        <v>0</v>
      </c>
      <c r="AG15" s="654">
        <f>AF15/'État des Résultats'!AF$14</f>
        <v>0</v>
      </c>
      <c r="AI15" s="793">
        <v>0</v>
      </c>
      <c r="AJ15" s="654">
        <f>AI15/'État des Résultats'!AI$14</f>
        <v>0</v>
      </c>
      <c r="AL15" s="793">
        <v>0</v>
      </c>
      <c r="AM15" s="654">
        <f>AL15/'État des Résultats'!AL$14</f>
        <v>0</v>
      </c>
      <c r="AP15" s="796">
        <f>SUM(+$AL15+$AI15+$AF15+$AC15+$Z15+$W15+$T15+$Q15+$N15+$K15+$H15+$E15)</f>
        <v>0</v>
      </c>
      <c r="AQ15" s="656">
        <f>AP15/'État des Résultats'!AP$14</f>
        <v>0</v>
      </c>
    </row>
    <row r="16" spans="2:56" x14ac:dyDescent="0.15">
      <c r="B16" s="706">
        <v>8140</v>
      </c>
      <c r="C16" s="705" t="s">
        <v>538</v>
      </c>
      <c r="E16" s="793">
        <v>0</v>
      </c>
      <c r="F16" s="654">
        <f>E16/'État des Résultats'!E$14</f>
        <v>0</v>
      </c>
      <c r="G16" s="658" t="s">
        <v>2</v>
      </c>
      <c r="H16" s="793">
        <v>0</v>
      </c>
      <c r="I16" s="654">
        <f>H16/'État des Résultats'!H$14</f>
        <v>0</v>
      </c>
      <c r="K16" s="793">
        <v>0</v>
      </c>
      <c r="L16" s="654">
        <f>K16/'État des Résultats'!K$14</f>
        <v>0</v>
      </c>
      <c r="N16" s="793">
        <v>0</v>
      </c>
      <c r="O16" s="654">
        <f>N16/'État des Résultats'!N$14</f>
        <v>0</v>
      </c>
      <c r="Q16" s="793">
        <v>0</v>
      </c>
      <c r="R16" s="654">
        <f>Q16/'État des Résultats'!Q$14</f>
        <v>0</v>
      </c>
      <c r="T16" s="793">
        <v>0</v>
      </c>
      <c r="U16" s="654">
        <f>T16/'État des Résultats'!T$14</f>
        <v>0</v>
      </c>
      <c r="W16" s="793">
        <v>0</v>
      </c>
      <c r="X16" s="654">
        <f>W16/'État des Résultats'!W$14</f>
        <v>0</v>
      </c>
      <c r="Z16" s="793">
        <v>0</v>
      </c>
      <c r="AA16" s="654">
        <f>Z16/'État des Résultats'!Z$14</f>
        <v>0</v>
      </c>
      <c r="AC16" s="793">
        <v>0</v>
      </c>
      <c r="AD16" s="654">
        <f>AC16/'État des Résultats'!AC$14</f>
        <v>0</v>
      </c>
      <c r="AF16" s="793">
        <v>0</v>
      </c>
      <c r="AG16" s="654">
        <f>AF16/'État des Résultats'!AF$14</f>
        <v>0</v>
      </c>
      <c r="AI16" s="793">
        <v>0</v>
      </c>
      <c r="AJ16" s="654">
        <f>AI16/'État des Résultats'!AI$14</f>
        <v>0</v>
      </c>
      <c r="AL16" s="793">
        <v>0</v>
      </c>
      <c r="AM16" s="654">
        <f>AL16/'État des Résultats'!AL$14</f>
        <v>0</v>
      </c>
      <c r="AP16" s="796">
        <f t="shared" ref="AP16:AP22" si="0">SUM(+$AL16+$AI16+$AF16+$AC16+$Z16+$W16+$T16+$Q16+$N16+$K16+$H16+$E16)</f>
        <v>0</v>
      </c>
      <c r="AQ16" s="656">
        <f>AP16/'État des Résultats'!AP$14</f>
        <v>0</v>
      </c>
    </row>
    <row r="17" spans="2:69" x14ac:dyDescent="0.15">
      <c r="B17" s="706">
        <v>8150</v>
      </c>
      <c r="C17" s="705" t="s">
        <v>539</v>
      </c>
      <c r="E17" s="793">
        <v>0</v>
      </c>
      <c r="F17" s="654">
        <f>E17/'État des Résultats'!E$14</f>
        <v>0</v>
      </c>
      <c r="H17" s="793">
        <v>0</v>
      </c>
      <c r="I17" s="654">
        <f>H17/'État des Résultats'!H$14</f>
        <v>0</v>
      </c>
      <c r="K17" s="793">
        <v>0</v>
      </c>
      <c r="L17" s="654">
        <f>K17/'État des Résultats'!K$14</f>
        <v>0</v>
      </c>
      <c r="N17" s="793">
        <v>0</v>
      </c>
      <c r="O17" s="654">
        <f>N17/'État des Résultats'!N$14</f>
        <v>0</v>
      </c>
      <c r="Q17" s="793">
        <v>0</v>
      </c>
      <c r="R17" s="654">
        <f>Q17/'État des Résultats'!Q$14</f>
        <v>0</v>
      </c>
      <c r="T17" s="793">
        <v>0</v>
      </c>
      <c r="U17" s="654">
        <f>T17/'État des Résultats'!T$14</f>
        <v>0</v>
      </c>
      <c r="W17" s="793">
        <v>0</v>
      </c>
      <c r="X17" s="654">
        <f>W17/'État des Résultats'!W$14</f>
        <v>0</v>
      </c>
      <c r="Z17" s="793">
        <v>0</v>
      </c>
      <c r="AA17" s="654">
        <f>Z17/'État des Résultats'!Z$14</f>
        <v>0</v>
      </c>
      <c r="AC17" s="793">
        <v>0</v>
      </c>
      <c r="AD17" s="654">
        <f>AC17/'État des Résultats'!AC$14</f>
        <v>0</v>
      </c>
      <c r="AF17" s="793">
        <v>0</v>
      </c>
      <c r="AG17" s="654">
        <f>AF17/'État des Résultats'!AF$14</f>
        <v>0</v>
      </c>
      <c r="AI17" s="793">
        <v>0</v>
      </c>
      <c r="AJ17" s="654">
        <f>AI17/'État des Résultats'!AI$14</f>
        <v>0</v>
      </c>
      <c r="AL17" s="793">
        <v>0</v>
      </c>
      <c r="AM17" s="654">
        <f>AL17/'État des Résultats'!AL$14</f>
        <v>0</v>
      </c>
      <c r="AP17" s="796">
        <f t="shared" si="0"/>
        <v>0</v>
      </c>
      <c r="AQ17" s="656">
        <f>AP17/'État des Résultats'!AP$14</f>
        <v>0</v>
      </c>
    </row>
    <row r="18" spans="2:69" x14ac:dyDescent="0.15">
      <c r="B18" s="706">
        <v>8160</v>
      </c>
      <c r="C18" s="705" t="s">
        <v>540</v>
      </c>
      <c r="E18" s="793">
        <v>0</v>
      </c>
      <c r="F18" s="654">
        <f>E18/'État des Résultats'!E$14</f>
        <v>0</v>
      </c>
      <c r="H18" s="793">
        <v>0</v>
      </c>
      <c r="I18" s="654">
        <f>H18/'État des Résultats'!H$14</f>
        <v>0</v>
      </c>
      <c r="K18" s="793">
        <v>0</v>
      </c>
      <c r="L18" s="654">
        <f>K18/'État des Résultats'!K$14</f>
        <v>0</v>
      </c>
      <c r="N18" s="793">
        <v>0</v>
      </c>
      <c r="O18" s="654">
        <f>N18/'État des Résultats'!N$14</f>
        <v>0</v>
      </c>
      <c r="Q18" s="793">
        <v>0</v>
      </c>
      <c r="R18" s="654">
        <f>Q18/'État des Résultats'!Q$14</f>
        <v>0</v>
      </c>
      <c r="T18" s="793">
        <v>0</v>
      </c>
      <c r="U18" s="654">
        <f>T18/'État des Résultats'!T$14</f>
        <v>0</v>
      </c>
      <c r="W18" s="793">
        <v>0</v>
      </c>
      <c r="X18" s="654">
        <f>W18/'État des Résultats'!W$14</f>
        <v>0</v>
      </c>
      <c r="Z18" s="793">
        <v>0</v>
      </c>
      <c r="AA18" s="654">
        <f>Z18/'État des Résultats'!Z$14</f>
        <v>0</v>
      </c>
      <c r="AC18" s="793">
        <v>0</v>
      </c>
      <c r="AD18" s="654">
        <f>AC18/'État des Résultats'!AC$14</f>
        <v>0</v>
      </c>
      <c r="AF18" s="793">
        <v>0</v>
      </c>
      <c r="AG18" s="654">
        <f>AF18/'État des Résultats'!AF$14</f>
        <v>0</v>
      </c>
      <c r="AI18" s="793">
        <v>0</v>
      </c>
      <c r="AJ18" s="654">
        <f>AI18/'État des Résultats'!AI$14</f>
        <v>0</v>
      </c>
      <c r="AL18" s="793">
        <v>0</v>
      </c>
      <c r="AM18" s="654">
        <f>AL18/'État des Résultats'!AL$14</f>
        <v>0</v>
      </c>
      <c r="AP18" s="796">
        <f t="shared" si="0"/>
        <v>0</v>
      </c>
      <c r="AQ18" s="656">
        <f>AP18/'État des Résultats'!AP$14</f>
        <v>0</v>
      </c>
    </row>
    <row r="19" spans="2:69" x14ac:dyDescent="0.15">
      <c r="B19" s="706">
        <v>8170</v>
      </c>
      <c r="C19" s="705" t="s">
        <v>541</v>
      </c>
      <c r="E19" s="793">
        <v>0</v>
      </c>
      <c r="F19" s="654">
        <f>E19/'État des Résultats'!E$14</f>
        <v>0</v>
      </c>
      <c r="H19" s="793">
        <v>0</v>
      </c>
      <c r="I19" s="654">
        <f>H19/'État des Résultats'!H$14</f>
        <v>0</v>
      </c>
      <c r="K19" s="793">
        <v>0</v>
      </c>
      <c r="L19" s="654">
        <f>K19/'État des Résultats'!K$14</f>
        <v>0</v>
      </c>
      <c r="N19" s="793">
        <v>0</v>
      </c>
      <c r="O19" s="654">
        <f>N19/'État des Résultats'!N$14</f>
        <v>0</v>
      </c>
      <c r="Q19" s="793">
        <v>0</v>
      </c>
      <c r="R19" s="654">
        <f>Q19/'État des Résultats'!Q$14</f>
        <v>0</v>
      </c>
      <c r="T19" s="793">
        <v>0</v>
      </c>
      <c r="U19" s="654">
        <f>T19/'État des Résultats'!T$14</f>
        <v>0</v>
      </c>
      <c r="W19" s="793">
        <v>0</v>
      </c>
      <c r="X19" s="654">
        <f>W19/'État des Résultats'!W$14</f>
        <v>0</v>
      </c>
      <c r="Z19" s="793">
        <v>0</v>
      </c>
      <c r="AA19" s="654">
        <f>Z19/'État des Résultats'!Z$14</f>
        <v>0</v>
      </c>
      <c r="AC19" s="793">
        <v>0</v>
      </c>
      <c r="AD19" s="654">
        <f>AC19/'État des Résultats'!AC$14</f>
        <v>0</v>
      </c>
      <c r="AF19" s="793">
        <v>0</v>
      </c>
      <c r="AG19" s="654">
        <f>AF19/'État des Résultats'!AF$14</f>
        <v>0</v>
      </c>
      <c r="AI19" s="793">
        <v>0</v>
      </c>
      <c r="AJ19" s="654">
        <f>AI19/'État des Résultats'!AI$14</f>
        <v>0</v>
      </c>
      <c r="AL19" s="793">
        <v>0</v>
      </c>
      <c r="AM19" s="654">
        <f>AL19/'État des Résultats'!AL$14</f>
        <v>0</v>
      </c>
      <c r="AP19" s="796">
        <f t="shared" si="0"/>
        <v>0</v>
      </c>
      <c r="AQ19" s="656">
        <f>AP19/'État des Résultats'!AP$14</f>
        <v>0</v>
      </c>
      <c r="AS19" s="209"/>
    </row>
    <row r="20" spans="2:69" x14ac:dyDescent="0.15">
      <c r="B20" s="706">
        <v>8180</v>
      </c>
      <c r="C20" s="705" t="s">
        <v>542</v>
      </c>
      <c r="E20" s="793">
        <v>0</v>
      </c>
      <c r="F20" s="654">
        <f>E20/'État des Résultats'!E$14</f>
        <v>0</v>
      </c>
      <c r="H20" s="793">
        <v>0</v>
      </c>
      <c r="I20" s="654">
        <f>H20/'État des Résultats'!H$14</f>
        <v>0</v>
      </c>
      <c r="K20" s="793">
        <v>0</v>
      </c>
      <c r="L20" s="654">
        <f>K20/'État des Résultats'!K$14</f>
        <v>0</v>
      </c>
      <c r="N20" s="793">
        <v>0</v>
      </c>
      <c r="O20" s="654">
        <f>N20/'État des Résultats'!N$14</f>
        <v>0</v>
      </c>
      <c r="Q20" s="793">
        <v>0</v>
      </c>
      <c r="R20" s="654">
        <f>Q20/'État des Résultats'!Q$14</f>
        <v>0</v>
      </c>
      <c r="T20" s="793">
        <v>0</v>
      </c>
      <c r="U20" s="654">
        <f>T20/'État des Résultats'!T$14</f>
        <v>0</v>
      </c>
      <c r="W20" s="793">
        <v>0</v>
      </c>
      <c r="X20" s="654">
        <f>W20/'État des Résultats'!W$14</f>
        <v>0</v>
      </c>
      <c r="Z20" s="793">
        <v>0</v>
      </c>
      <c r="AA20" s="654">
        <f>Z20/'État des Résultats'!Z$14</f>
        <v>0</v>
      </c>
      <c r="AC20" s="793">
        <v>0</v>
      </c>
      <c r="AD20" s="654">
        <f>AC20/'État des Résultats'!AC$14</f>
        <v>0</v>
      </c>
      <c r="AF20" s="793">
        <v>0</v>
      </c>
      <c r="AG20" s="654">
        <f>AF20/'État des Résultats'!AF$14</f>
        <v>0</v>
      </c>
      <c r="AI20" s="793">
        <v>0</v>
      </c>
      <c r="AJ20" s="654">
        <f>AI20/'État des Résultats'!AI$14</f>
        <v>0</v>
      </c>
      <c r="AL20" s="793">
        <v>0</v>
      </c>
      <c r="AM20" s="654">
        <f>AL20/'État des Résultats'!AL$14</f>
        <v>0</v>
      </c>
      <c r="AP20" s="796">
        <f t="shared" si="0"/>
        <v>0</v>
      </c>
      <c r="AQ20" s="656">
        <f>AP20/'État des Résultats'!AP$14</f>
        <v>0</v>
      </c>
    </row>
    <row r="21" spans="2:69" x14ac:dyDescent="0.15">
      <c r="B21" s="706">
        <v>8190</v>
      </c>
      <c r="C21" s="705" t="s">
        <v>543</v>
      </c>
      <c r="E21" s="793">
        <v>0</v>
      </c>
      <c r="F21" s="654">
        <f>E21/'État des Résultats'!E$14</f>
        <v>0</v>
      </c>
      <c r="H21" s="793">
        <v>0</v>
      </c>
      <c r="I21" s="654">
        <f>H21/'État des Résultats'!H$14</f>
        <v>0</v>
      </c>
      <c r="K21" s="793">
        <v>0</v>
      </c>
      <c r="L21" s="654">
        <f>K21/'État des Résultats'!K$14</f>
        <v>0</v>
      </c>
      <c r="N21" s="793">
        <v>0</v>
      </c>
      <c r="O21" s="654">
        <f>N21/'État des Résultats'!N$14</f>
        <v>0</v>
      </c>
      <c r="Q21" s="793">
        <v>0</v>
      </c>
      <c r="R21" s="654">
        <f>Q21/'État des Résultats'!Q$14</f>
        <v>0</v>
      </c>
      <c r="T21" s="793">
        <v>0</v>
      </c>
      <c r="U21" s="654">
        <f>T21/'État des Résultats'!T$14</f>
        <v>0</v>
      </c>
      <c r="W21" s="793">
        <v>0</v>
      </c>
      <c r="X21" s="654">
        <f>W21/'État des Résultats'!W$14</f>
        <v>0</v>
      </c>
      <c r="Z21" s="793">
        <v>0</v>
      </c>
      <c r="AA21" s="654">
        <f>Z21/'État des Résultats'!Z$14</f>
        <v>0</v>
      </c>
      <c r="AC21" s="793">
        <v>0</v>
      </c>
      <c r="AD21" s="654">
        <f>AC21/'État des Résultats'!AC$14</f>
        <v>0</v>
      </c>
      <c r="AF21" s="793">
        <v>0</v>
      </c>
      <c r="AG21" s="654">
        <f>AF21/'État des Résultats'!AF$14</f>
        <v>0</v>
      </c>
      <c r="AI21" s="793">
        <v>0</v>
      </c>
      <c r="AJ21" s="654">
        <f>AI21/'État des Résultats'!AI$14</f>
        <v>0</v>
      </c>
      <c r="AL21" s="793">
        <v>0</v>
      </c>
      <c r="AM21" s="654">
        <f>AL21/'État des Résultats'!AL$14</f>
        <v>0</v>
      </c>
      <c r="AP21" s="796">
        <f t="shared" si="0"/>
        <v>0</v>
      </c>
      <c r="AQ21" s="656">
        <f>AP21/'État des Résultats'!AP$14</f>
        <v>0</v>
      </c>
    </row>
    <row r="22" spans="2:69" x14ac:dyDescent="0.15">
      <c r="B22" s="706">
        <v>8199</v>
      </c>
      <c r="C22" s="705" t="s">
        <v>544</v>
      </c>
      <c r="E22" s="793">
        <v>0</v>
      </c>
      <c r="F22" s="654">
        <f>E22/'État des Résultats'!E$14</f>
        <v>0</v>
      </c>
      <c r="H22" s="793">
        <v>0</v>
      </c>
      <c r="I22" s="654">
        <f>H22/'État des Résultats'!H$14</f>
        <v>0</v>
      </c>
      <c r="K22" s="793">
        <v>0</v>
      </c>
      <c r="L22" s="654">
        <f>K22/'État des Résultats'!K$14</f>
        <v>0</v>
      </c>
      <c r="N22" s="793">
        <v>0</v>
      </c>
      <c r="O22" s="654">
        <f>N22/'État des Résultats'!N$14</f>
        <v>0</v>
      </c>
      <c r="Q22" s="793">
        <v>0</v>
      </c>
      <c r="R22" s="654">
        <f>Q22/'État des Résultats'!Q$14</f>
        <v>0</v>
      </c>
      <c r="T22" s="793">
        <v>0</v>
      </c>
      <c r="U22" s="654">
        <f>T22/'État des Résultats'!T$14</f>
        <v>0</v>
      </c>
      <c r="W22" s="793">
        <v>0</v>
      </c>
      <c r="X22" s="654">
        <f>W22/'État des Résultats'!W$14</f>
        <v>0</v>
      </c>
      <c r="Z22" s="793">
        <v>0</v>
      </c>
      <c r="AA22" s="654">
        <f>Z22/'État des Résultats'!Z$14</f>
        <v>0</v>
      </c>
      <c r="AC22" s="793">
        <v>0</v>
      </c>
      <c r="AD22" s="654">
        <f>AC22/'État des Résultats'!AC$14</f>
        <v>0</v>
      </c>
      <c r="AF22" s="793">
        <v>0</v>
      </c>
      <c r="AG22" s="654">
        <f>AF22/'État des Résultats'!AF$14</f>
        <v>0</v>
      </c>
      <c r="AI22" s="793">
        <v>0</v>
      </c>
      <c r="AJ22" s="654">
        <f>AI22/'État des Résultats'!AI$14</f>
        <v>0</v>
      </c>
      <c r="AL22" s="793">
        <v>0</v>
      </c>
      <c r="AM22" s="654">
        <f>AL22/'État des Résultats'!AL$14</f>
        <v>0</v>
      </c>
      <c r="AP22" s="796">
        <f t="shared" si="0"/>
        <v>0</v>
      </c>
      <c r="AQ22" s="656">
        <f>AP22/'État des Résultats'!AP$14</f>
        <v>0</v>
      </c>
    </row>
    <row r="23" spans="2:69" ht="14" thickBot="1" x14ac:dyDescent="0.2">
      <c r="B23" s="708" t="s">
        <v>2</v>
      </c>
      <c r="C23" s="709"/>
      <c r="E23" s="794" t="s">
        <v>2</v>
      </c>
      <c r="F23" s="659" t="s">
        <v>2</v>
      </c>
      <c r="H23" s="794" t="s">
        <v>2</v>
      </c>
      <c r="I23" s="659" t="s">
        <v>2</v>
      </c>
      <c r="K23" s="794" t="s">
        <v>2</v>
      </c>
      <c r="L23" s="659" t="s">
        <v>2</v>
      </c>
      <c r="N23" s="794" t="s">
        <v>2</v>
      </c>
      <c r="O23" s="659" t="s">
        <v>2</v>
      </c>
      <c r="Q23" s="794" t="s">
        <v>2</v>
      </c>
      <c r="R23" s="659" t="s">
        <v>2</v>
      </c>
      <c r="S23" s="710"/>
      <c r="T23" s="794" t="s">
        <v>2</v>
      </c>
      <c r="U23" s="659" t="s">
        <v>2</v>
      </c>
      <c r="W23" s="794" t="s">
        <v>2</v>
      </c>
      <c r="X23" s="659" t="s">
        <v>2</v>
      </c>
      <c r="Z23" s="794" t="s">
        <v>2</v>
      </c>
      <c r="AA23" s="659" t="s">
        <v>2</v>
      </c>
      <c r="AC23" s="794" t="s">
        <v>2</v>
      </c>
      <c r="AD23" s="659" t="s">
        <v>2</v>
      </c>
      <c r="AF23" s="794" t="s">
        <v>2</v>
      </c>
      <c r="AG23" s="659" t="s">
        <v>2</v>
      </c>
      <c r="AI23" s="794" t="s">
        <v>2</v>
      </c>
      <c r="AJ23" s="659" t="s">
        <v>2</v>
      </c>
      <c r="AL23" s="794" t="s">
        <v>2</v>
      </c>
      <c r="AM23" s="659" t="s">
        <v>2</v>
      </c>
      <c r="AP23" s="796" t="s">
        <v>2</v>
      </c>
      <c r="AQ23" s="660" t="s">
        <v>2</v>
      </c>
    </row>
    <row r="24" spans="2:69" ht="15" thickTop="1" thickBot="1" x14ac:dyDescent="0.2">
      <c r="B24" s="469">
        <v>8100</v>
      </c>
      <c r="C24" s="470" t="s">
        <v>370</v>
      </c>
      <c r="D24" s="213"/>
      <c r="E24" s="795">
        <f>SUM(E13:E22)</f>
        <v>818.75</v>
      </c>
      <c r="F24" s="662">
        <f>E24/'État des Résultats'!E14</f>
        <v>1.1217802338326635E-2</v>
      </c>
      <c r="G24" s="213"/>
      <c r="H24" s="795">
        <f>SUM(H13:H22)</f>
        <v>818.75</v>
      </c>
      <c r="I24" s="662">
        <f>H24/'État des Résultats'!H14</f>
        <v>1.1573392388064974E-2</v>
      </c>
      <c r="J24" s="213"/>
      <c r="K24" s="795">
        <f>SUM(K13:K22)</f>
        <v>818.75</v>
      </c>
      <c r="L24" s="662">
        <f>K24/'État des Résultats'!K14</f>
        <v>1.03859448831383E-2</v>
      </c>
      <c r="M24" s="213"/>
      <c r="N24" s="795">
        <f>SUM(N13:N22)</f>
        <v>818.75</v>
      </c>
      <c r="O24" s="662">
        <f>N24/'État des Résultats'!N14</f>
        <v>9.8956927509170744E-3</v>
      </c>
      <c r="P24" s="213"/>
      <c r="Q24" s="795">
        <f>SUM(Q13:Q22)</f>
        <v>818.75</v>
      </c>
      <c r="R24" s="662">
        <f>Q24/'État des Résultats'!Q14</f>
        <v>9.1910664144120406E-3</v>
      </c>
      <c r="S24" s="213"/>
      <c r="T24" s="795">
        <f>SUM(T13:T22)</f>
        <v>818.75</v>
      </c>
      <c r="U24" s="662">
        <f>T24/'État des Résultats'!T14</f>
        <v>8.9435224883939925E-3</v>
      </c>
      <c r="V24" s="213"/>
      <c r="W24" s="795">
        <f>SUM(W13:W22)</f>
        <v>818.75</v>
      </c>
      <c r="X24" s="662">
        <f>W24/'État des Résultats'!W14</f>
        <v>8.3264048322945101E-3</v>
      </c>
      <c r="Y24" s="213"/>
      <c r="Z24" s="795">
        <f>SUM(Z13:Z22)</f>
        <v>818.75</v>
      </c>
      <c r="AA24" s="662">
        <f>Z24/'État des Résultats'!Z14</f>
        <v>8.2179342978787647E-3</v>
      </c>
      <c r="AB24" s="213"/>
      <c r="AC24" s="795">
        <f>SUM(AC13:AC22)</f>
        <v>818.75</v>
      </c>
      <c r="AD24" s="662">
        <f>AC24/'État des Résultats'!AC14</f>
        <v>8.9873202769203304E-3</v>
      </c>
      <c r="AE24" s="213"/>
      <c r="AF24" s="795">
        <f>SUM(AF13:AF22)</f>
        <v>818.75</v>
      </c>
      <c r="AG24" s="662">
        <f>AF24/'État des Résultats'!AF14</f>
        <v>8.6770016217735512E-3</v>
      </c>
      <c r="AH24" s="213"/>
      <c r="AI24" s="795">
        <f>SUM(AI13:AI22)</f>
        <v>818.75</v>
      </c>
      <c r="AJ24" s="662">
        <f>AI24/'État des Résultats'!AI14</f>
        <v>9.335053276122933E-3</v>
      </c>
      <c r="AK24" s="213"/>
      <c r="AL24" s="795">
        <f>SUM(AL13:AL22)</f>
        <v>818.75</v>
      </c>
      <c r="AM24" s="662">
        <f>AL24/'État des Résultats'!AL14</f>
        <v>8.3999145183660858E-3</v>
      </c>
      <c r="AN24" s="213"/>
      <c r="AO24" s="213"/>
      <c r="AP24" s="795">
        <f>SUM(AP13:AP22)</f>
        <v>9825</v>
      </c>
      <c r="AQ24" s="662">
        <f>AP24/'État des Résultats'!AP14</f>
        <v>9.3169643873134231E-3</v>
      </c>
      <c r="AR24" s="213"/>
      <c r="AS24" s="213"/>
      <c r="AT24" s="213"/>
      <c r="AU24" s="251"/>
    </row>
    <row r="25" spans="2:69" ht="14" thickTop="1" x14ac:dyDescent="0.15">
      <c r="L25" s="314"/>
      <c r="O25" s="314"/>
      <c r="R25" s="314"/>
      <c r="U25" s="314"/>
      <c r="X25" s="314"/>
      <c r="AA25" s="314"/>
      <c r="AD25" s="314"/>
      <c r="AG25" s="314"/>
      <c r="AJ25" s="314"/>
      <c r="AM25" s="314"/>
      <c r="AQ25" s="314"/>
    </row>
    <row r="26" spans="2:69" x14ac:dyDescent="0.15">
      <c r="R26" s="314"/>
      <c r="U26" s="314"/>
      <c r="X26" s="314"/>
      <c r="AD26" s="314"/>
      <c r="AG26" s="314"/>
      <c r="AJ26" s="314"/>
      <c r="AM26" s="314"/>
    </row>
    <row r="27" spans="2:69" x14ac:dyDescent="0.15">
      <c r="U27" s="314"/>
      <c r="AG27" s="314"/>
      <c r="AJ27" s="314"/>
      <c r="AM27" s="314"/>
    </row>
    <row r="28" spans="2:69" x14ac:dyDescent="0.15">
      <c r="C28" s="161" t="s">
        <v>2</v>
      </c>
      <c r="E28" s="161" t="s">
        <v>2</v>
      </c>
      <c r="G28" s="161" t="s">
        <v>2</v>
      </c>
      <c r="H28" s="161" t="s">
        <v>2</v>
      </c>
      <c r="U28" s="314"/>
      <c r="AG28" s="314"/>
      <c r="AJ28" s="314"/>
      <c r="AM28" s="314"/>
    </row>
    <row r="29" spans="2:69" x14ac:dyDescent="0.15">
      <c r="H29" s="161" t="s">
        <v>2</v>
      </c>
      <c r="AG29" s="314"/>
      <c r="AJ29" s="314"/>
      <c r="AM29" s="314"/>
    </row>
    <row r="30" spans="2:69" x14ac:dyDescent="0.15">
      <c r="H30" s="161" t="s">
        <v>2</v>
      </c>
      <c r="AM30" s="314"/>
    </row>
    <row r="31" spans="2:69" x14ac:dyDescent="0.15">
      <c r="H31" s="161" t="s">
        <v>2</v>
      </c>
      <c r="BB31" s="170"/>
      <c r="BC31" s="170"/>
      <c r="BD31" s="170"/>
      <c r="BE31" s="170"/>
      <c r="BF31" s="170"/>
      <c r="BG31" s="170"/>
      <c r="BH31" s="170"/>
      <c r="BI31" s="170"/>
      <c r="BJ31" s="170"/>
      <c r="BK31" s="170"/>
      <c r="BL31" s="170"/>
      <c r="BM31" s="170"/>
      <c r="BN31" s="170"/>
      <c r="BO31" s="170"/>
      <c r="BP31" s="170"/>
      <c r="BQ31" s="170"/>
    </row>
    <row r="32" spans="2:69" x14ac:dyDescent="0.15">
      <c r="H32" s="161" t="s">
        <v>2</v>
      </c>
    </row>
    <row r="33" spans="8:8" x14ac:dyDescent="0.15">
      <c r="H33" s="161" t="s">
        <v>2</v>
      </c>
    </row>
    <row r="43" spans="8:8" x14ac:dyDescent="0.15">
      <c r="H43" s="663"/>
    </row>
  </sheetData>
  <sheetProtection algorithmName="SHA-512" hashValue="yzw5EI4cGrW8A3zweeGt+OGt2qLRfoSrFflkpdRGU8Pbx952Q9z+lzsf1fU87ltvn8iQlwP8SYzTD4H/ROCK7w==" saltValue="h9+a02/zQGnjFdn4mJ0s3Q==" spinCount="100000" sheet="1" objects="1" scenarios="1"/>
  <mergeCells count="9">
    <mergeCell ref="B9:C9"/>
    <mergeCell ref="AS2:AS8"/>
    <mergeCell ref="BC2:BC8"/>
    <mergeCell ref="B2:C2"/>
    <mergeCell ref="B3:C3"/>
    <mergeCell ref="B4:C4"/>
    <mergeCell ref="B6:C6"/>
    <mergeCell ref="B7:C7"/>
    <mergeCell ref="B8:C8"/>
  </mergeCells>
  <phoneticPr fontId="47" type="noConversion"/>
  <pageMargins left="0.75000000000000011" right="0.75000000000000011" top="1" bottom="1" header="0.49" footer="0.49"/>
  <pageSetup scale="63" fitToWidth="2" orientation="landscape" horizontalDpi="4294967292" verticalDpi="4294967292"/>
  <headerFooter>
    <oddFooter>&amp;C&amp;K000000Budget et indicateurs de performace (430-763-Me)</oddFooter>
  </headerFooter>
  <ignoredErrors>
    <ignoredError sqref="H13 K13 N13 Q13 T13 W13 Z13 AC13 AF13 AI13 AL13 E13"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6035-8D1A-A643-9DC8-D8C5058644FC}">
  <sheetPr>
    <tabColor theme="1"/>
    <pageSetUpPr fitToPage="1"/>
  </sheetPr>
  <dimension ref="B1:BQ43"/>
  <sheetViews>
    <sheetView zoomScale="125" zoomScaleNormal="125" zoomScalePageLayoutView="125" workbookViewId="0"/>
  </sheetViews>
  <sheetFormatPr baseColWidth="10" defaultRowHeight="13" x14ac:dyDescent="0.15"/>
  <cols>
    <col min="1" max="1" width="2.1640625" style="161" customWidth="1"/>
    <col min="2" max="2" width="5.1640625" style="161" customWidth="1"/>
    <col min="3" max="3" width="45.16406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6640625" style="161" customWidth="1"/>
    <col min="45" max="45" width="8.5" style="161" bestFit="1" customWidth="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55" width="8.5" style="161" bestFit="1" customWidth="1"/>
    <col min="56" max="16384" width="10.83203125" style="161"/>
  </cols>
  <sheetData>
    <row r="1" spans="2:56" ht="14" thickBot="1" x14ac:dyDescent="0.2"/>
    <row r="2" spans="2:56" ht="17" thickTop="1" x14ac:dyDescent="0.2">
      <c r="B2" s="1430" t="str">
        <f>'État des Résultats'!C2</f>
        <v>Les Multiples Plaisirs gourmands</v>
      </c>
      <c r="C2" s="1431"/>
      <c r="AS2" s="1388" t="s">
        <v>42</v>
      </c>
      <c r="AT2" s="366"/>
      <c r="AU2" s="366"/>
      <c r="AV2" s="366"/>
      <c r="AW2" s="366"/>
      <c r="AX2" s="366"/>
      <c r="AY2" s="366"/>
      <c r="AZ2" s="366"/>
      <c r="BA2" s="366"/>
      <c r="BB2" s="366"/>
      <c r="BC2" s="1391" t="s">
        <v>43</v>
      </c>
    </row>
    <row r="3" spans="2:56" ht="16" x14ac:dyDescent="0.2">
      <c r="B3" s="1432" t="str">
        <f>'État des Résultats'!C3</f>
        <v xml:space="preserve">États des résultats </v>
      </c>
      <c r="C3" s="1433"/>
      <c r="AS3" s="1389"/>
      <c r="AT3" s="367"/>
      <c r="AU3" s="367"/>
      <c r="AV3" s="367"/>
      <c r="AW3" s="367"/>
      <c r="AX3" s="367"/>
      <c r="AY3" s="367"/>
      <c r="AZ3" s="367"/>
      <c r="BA3" s="367"/>
      <c r="BB3" s="367"/>
      <c r="BC3" s="1392"/>
    </row>
    <row r="4" spans="2:56" ht="22" thickBot="1" x14ac:dyDescent="0.3">
      <c r="B4" s="1434" t="str">
        <f>'État des Résultats'!C4</f>
        <v>Pour la période du 1er janvier 2021 au 31 décembre 2021</v>
      </c>
      <c r="C4" s="1435"/>
      <c r="AS4" s="1389"/>
      <c r="AT4" s="368" t="str">
        <f>'Formule pour le calcul D'!BA103</f>
        <v>Coût annuel</v>
      </c>
      <c r="AU4" s="368" t="s">
        <v>44</v>
      </c>
      <c r="AV4" s="368" t="str">
        <f>'Formule pour le calcul D'!BC103</f>
        <v>Achalandage annuelle</v>
      </c>
      <c r="AW4" s="368" t="s">
        <v>45</v>
      </c>
      <c r="AX4" s="368" t="s">
        <v>46</v>
      </c>
      <c r="AY4" s="368" t="str">
        <f>'Formule pour le calcul D'!BF103</f>
        <v>Um/A</v>
      </c>
      <c r="AZ4" s="368" t="s">
        <v>45</v>
      </c>
      <c r="BA4" s="368" t="str">
        <f>'Formule pour le calcul D'!BH103</f>
        <v>CmO</v>
      </c>
      <c r="BB4" s="368" t="s">
        <v>49</v>
      </c>
      <c r="BC4" s="1392"/>
    </row>
    <row r="5" spans="2:56" ht="21" thickTop="1" thickBot="1" x14ac:dyDescent="0.3">
      <c r="AS5" s="1389"/>
      <c r="AT5" s="369" t="s">
        <v>2</v>
      </c>
      <c r="AU5" s="370"/>
      <c r="AV5" s="369"/>
      <c r="AW5" s="370"/>
      <c r="AX5" s="370"/>
      <c r="AY5" s="370"/>
      <c r="AZ5" s="370"/>
      <c r="BA5" s="370"/>
      <c r="BB5" s="370"/>
      <c r="BC5" s="1392"/>
    </row>
    <row r="6" spans="2:56" ht="27" thickTop="1" x14ac:dyDescent="0.3">
      <c r="B6" s="1406" t="str">
        <f>'Coût marchandises vendues'!B6</f>
        <v>Nb de places</v>
      </c>
      <c r="C6" s="1436"/>
      <c r="E6" s="637" t="str">
        <f>'Coût marchandises vendues'!D6</f>
        <v>Coût / place / jour</v>
      </c>
      <c r="F6" s="638">
        <f>+E24/$B$7/'Calendrier 2021'!D8</f>
        <v>1.6666666666666665</v>
      </c>
      <c r="G6" s="170"/>
      <c r="H6" s="637" t="str">
        <f>+E6</f>
        <v>Coût / place / jour</v>
      </c>
      <c r="I6" s="638">
        <f>+H24/$B$7/'Calendrier 2021'!E8</f>
        <v>1.8452380952380951</v>
      </c>
      <c r="J6" s="170"/>
      <c r="K6" s="637" t="str">
        <f>+H6</f>
        <v>Coût / place / jour</v>
      </c>
      <c r="L6" s="638">
        <f>+K24/$B$7/'Calendrier 2021'!F8</f>
        <v>1.6666666666666665</v>
      </c>
      <c r="M6" s="170"/>
      <c r="N6" s="637" t="str">
        <f>+K6</f>
        <v>Coût / place / jour</v>
      </c>
      <c r="O6" s="638">
        <f>+N24/$B$7/'Calendrier 2021'!G8</f>
        <v>1.7222222222222221</v>
      </c>
      <c r="P6" s="422"/>
      <c r="Q6" s="637" t="str">
        <f>+N6</f>
        <v>Coût / place / jour</v>
      </c>
      <c r="R6" s="638">
        <f>+Q24/$B$7/'Calendrier 2021'!H8</f>
        <v>1.6666666666666665</v>
      </c>
      <c r="S6" s="422"/>
      <c r="T6" s="637" t="str">
        <f>+Q6</f>
        <v>Coût / place / jour</v>
      </c>
      <c r="U6" s="638">
        <f>+T24/$B$7/'Calendrier 2021'!I8</f>
        <v>1.7222222222222221</v>
      </c>
      <c r="V6" s="170"/>
      <c r="W6" s="637" t="str">
        <f>+T6</f>
        <v>Coût / place / jour</v>
      </c>
      <c r="X6" s="638">
        <f>+W24/$B$7/'Calendrier 2021'!J8</f>
        <v>1.6666666666666665</v>
      </c>
      <c r="Y6" s="170"/>
      <c r="Z6" s="637" t="str">
        <f>+W6</f>
        <v>Coût / place / jour</v>
      </c>
      <c r="AA6" s="638">
        <f>+Z24/$B$7/'Calendrier 2021'!K8</f>
        <v>1.6666666666666665</v>
      </c>
      <c r="AB6" s="170"/>
      <c r="AC6" s="637" t="str">
        <f>+Z6</f>
        <v>Coût / place / jour</v>
      </c>
      <c r="AD6" s="638">
        <f>+AC24/$B$7/'Calendrier 2021'!L8</f>
        <v>1.7222222222222221</v>
      </c>
      <c r="AE6" s="170"/>
      <c r="AF6" s="637" t="str">
        <f>+AC6</f>
        <v>Coût / place / jour</v>
      </c>
      <c r="AG6" s="638">
        <f>+AF24/$B$7/'Calendrier 2021'!M8</f>
        <v>1.6666666666666665</v>
      </c>
      <c r="AH6" s="170"/>
      <c r="AI6" s="637" t="str">
        <f>+AF6</f>
        <v>Coût / place / jour</v>
      </c>
      <c r="AJ6" s="638">
        <f>+AI24/$B$7/'Calendrier 2021'!N8</f>
        <v>1.7222222222222221</v>
      </c>
      <c r="AK6" s="170"/>
      <c r="AL6" s="637" t="str">
        <f>+AI6</f>
        <v>Coût / place / jour</v>
      </c>
      <c r="AM6" s="638">
        <f>+AL24/$B$7/'Calendrier 2021'!O8</f>
        <v>1.6666666666666665</v>
      </c>
      <c r="AN6" s="170"/>
      <c r="AO6" s="170"/>
      <c r="AP6" s="639" t="str">
        <f>+AL6</f>
        <v>Coût / place / jour</v>
      </c>
      <c r="AQ6" s="640">
        <f>+AP24/$B$7/'% Occupation'!P9</f>
        <v>1.6986301369863013</v>
      </c>
      <c r="AS6" s="1389"/>
      <c r="AT6" s="371" t="str">
        <f>'Formule pour le calcul D'!BA105</f>
        <v xml:space="preserve">C </v>
      </c>
      <c r="AU6" s="372"/>
      <c r="AV6" s="371" t="str">
        <f>'Formule pour le calcul D'!BC105</f>
        <v>A</v>
      </c>
      <c r="AW6" s="372"/>
      <c r="AX6" s="372"/>
      <c r="AY6" s="371" t="str">
        <f>AY4</f>
        <v>Um/A</v>
      </c>
      <c r="AZ6" s="372"/>
      <c r="BA6" s="371" t="str">
        <f>BA4</f>
        <v>CmO</v>
      </c>
      <c r="BB6" s="372"/>
      <c r="BC6" s="1392"/>
    </row>
    <row r="7" spans="2:56" ht="21" x14ac:dyDescent="0.25">
      <c r="B7" s="1438">
        <f>'Coût marchandises vendues'!B7</f>
        <v>30</v>
      </c>
      <c r="C7" s="1437"/>
      <c r="E7" s="424">
        <f>+E24/$AP24</f>
        <v>8.3333333333333329E-2</v>
      </c>
      <c r="F7" s="641"/>
      <c r="H7" s="424">
        <f>+H24/$AP24</f>
        <v>8.3333333333333329E-2</v>
      </c>
      <c r="I7" s="641"/>
      <c r="K7" s="424">
        <f>+K24/$AP24</f>
        <v>8.3333333333333329E-2</v>
      </c>
      <c r="L7" s="425"/>
      <c r="N7" s="424">
        <f>+N24/$AP24</f>
        <v>8.3333333333333329E-2</v>
      </c>
      <c r="O7" s="425"/>
      <c r="P7" s="642"/>
      <c r="Q7" s="424">
        <f>+Q24/$AP24</f>
        <v>8.3333333333333329E-2</v>
      </c>
      <c r="R7" s="425"/>
      <c r="S7" s="642"/>
      <c r="T7" s="424">
        <f>+T24/$AP24</f>
        <v>8.3333333333333329E-2</v>
      </c>
      <c r="U7" s="425"/>
      <c r="W7" s="424">
        <f>+W24/$AP24</f>
        <v>8.3333333333333329E-2</v>
      </c>
      <c r="X7" s="425"/>
      <c r="Z7" s="424">
        <f>+Z24/$AP24</f>
        <v>8.3333333333333329E-2</v>
      </c>
      <c r="AA7" s="425"/>
      <c r="AC7" s="424">
        <f>+AC24/$AP24</f>
        <v>8.3333333333333329E-2</v>
      </c>
      <c r="AD7" s="425"/>
      <c r="AF7" s="424">
        <f>+AF24/$AP24</f>
        <v>8.3333333333333329E-2</v>
      </c>
      <c r="AG7" s="425"/>
      <c r="AI7" s="424">
        <f>+AI24/$AP24</f>
        <v>8.3333333333333329E-2</v>
      </c>
      <c r="AJ7" s="425"/>
      <c r="AL7" s="424">
        <f>+AL24/$AP24</f>
        <v>8.3333333333333329E-2</v>
      </c>
      <c r="AM7" s="425"/>
      <c r="AP7" s="643">
        <f>+AP24/$AP24</f>
        <v>1</v>
      </c>
      <c r="AQ7" s="718" t="s">
        <v>136</v>
      </c>
      <c r="AS7" s="1389"/>
      <c r="AT7" s="630">
        <f>AP24</f>
        <v>18600</v>
      </c>
      <c r="AU7" s="368" t="s">
        <v>44</v>
      </c>
      <c r="AV7" s="631">
        <f>'Formule pour le calcul D'!G106</f>
        <v>52000</v>
      </c>
      <c r="AW7" s="368" t="s">
        <v>45</v>
      </c>
      <c r="AX7" s="368" t="s">
        <v>46</v>
      </c>
      <c r="AY7" s="632">
        <f>'Formule pour le calcul D'!J106</f>
        <v>3.1499999999999995</v>
      </c>
      <c r="AZ7" s="368" t="s">
        <v>45</v>
      </c>
      <c r="BA7" s="633">
        <f>AT7/AV7/AY7</f>
        <v>0.11355311355311358</v>
      </c>
      <c r="BB7" s="368" t="s">
        <v>49</v>
      </c>
      <c r="BC7" s="1392"/>
    </row>
    <row r="8" spans="2:56" ht="17" thickBot="1" x14ac:dyDescent="0.25">
      <c r="B8" s="1410" t="s">
        <v>334</v>
      </c>
      <c r="C8" s="1437"/>
      <c r="E8" s="646" t="str">
        <f>'État des Résultats'!E8</f>
        <v>Pér.01</v>
      </c>
      <c r="F8" s="645" t="str">
        <f>'État des Résultats'!F8</f>
        <v>(%)</v>
      </c>
      <c r="G8" s="382"/>
      <c r="H8" s="646" t="str">
        <f>'État des Résultats'!H8</f>
        <v>Pér.02</v>
      </c>
      <c r="I8" s="645" t="str">
        <f>F8</f>
        <v>(%)</v>
      </c>
      <c r="J8" s="382"/>
      <c r="K8" s="646" t="str">
        <f>'État des Résultats'!K8</f>
        <v>Pér.03</v>
      </c>
      <c r="L8" s="645" t="str">
        <f>I8</f>
        <v>(%)</v>
      </c>
      <c r="M8" s="382"/>
      <c r="N8" s="646" t="str">
        <f>'État des Résultats'!N8</f>
        <v>Pér.04</v>
      </c>
      <c r="O8" s="645" t="str">
        <f>L8</f>
        <v>(%)</v>
      </c>
      <c r="P8" s="426"/>
      <c r="Q8" s="646" t="str">
        <f>'État des Résultats'!Q8</f>
        <v>Pér.05</v>
      </c>
      <c r="R8" s="645" t="str">
        <f>O8</f>
        <v>(%)</v>
      </c>
      <c r="S8" s="426"/>
      <c r="T8" s="646" t="str">
        <f>'État des Résultats'!T8</f>
        <v>Pér.06</v>
      </c>
      <c r="U8" s="645" t="str">
        <f>R8</f>
        <v>(%)</v>
      </c>
      <c r="V8" s="382"/>
      <c r="W8" s="646" t="str">
        <f>'État des Résultats'!W8</f>
        <v>Pér.07</v>
      </c>
      <c r="X8" s="645" t="str">
        <f>U8</f>
        <v>(%)</v>
      </c>
      <c r="Y8" s="382"/>
      <c r="Z8" s="646" t="str">
        <f>'État des Résultats'!Z8</f>
        <v>Pér.08</v>
      </c>
      <c r="AA8" s="645" t="str">
        <f>X8</f>
        <v>(%)</v>
      </c>
      <c r="AB8" s="382"/>
      <c r="AC8" s="646" t="str">
        <f>'État des Résultats'!AC8</f>
        <v>Pér.09</v>
      </c>
      <c r="AD8" s="645" t="str">
        <f>AA8</f>
        <v>(%)</v>
      </c>
      <c r="AE8" s="382"/>
      <c r="AF8" s="646" t="str">
        <f>'État des Résultats'!AF8</f>
        <v>Pér.10</v>
      </c>
      <c r="AG8" s="645" t="str">
        <f>AD8</f>
        <v>(%)</v>
      </c>
      <c r="AH8" s="382"/>
      <c r="AI8" s="646" t="str">
        <f>'État des Résultats'!AI8</f>
        <v>Pér.11</v>
      </c>
      <c r="AJ8" s="645" t="str">
        <f>AG8</f>
        <v>(%)</v>
      </c>
      <c r="AK8" s="382"/>
      <c r="AL8" s="646" t="str">
        <f>'État des Résultats'!AL8</f>
        <v>Pér.12</v>
      </c>
      <c r="AM8" s="645" t="str">
        <f>AJ8</f>
        <v>(%)</v>
      </c>
      <c r="AN8" s="647" t="s">
        <v>2</v>
      </c>
      <c r="AO8" s="382"/>
      <c r="AP8" s="648" t="str">
        <f>'État des Résultats'!AP8</f>
        <v>Total</v>
      </c>
      <c r="AQ8" s="645" t="str">
        <f>AM8</f>
        <v>(%)</v>
      </c>
      <c r="AS8" s="1390"/>
      <c r="AT8" s="373"/>
      <c r="AU8" s="373"/>
      <c r="AV8" s="373"/>
      <c r="AW8" s="373"/>
      <c r="AX8" s="373"/>
      <c r="AY8" s="373"/>
      <c r="AZ8" s="373"/>
      <c r="BA8" s="373"/>
      <c r="BB8" s="373"/>
      <c r="BC8" s="1393"/>
    </row>
    <row r="9" spans="2:56" ht="15" thickTop="1" thickBot="1" x14ac:dyDescent="0.2">
      <c r="B9" s="1446">
        <f>AP24/$B$7</f>
        <v>620</v>
      </c>
      <c r="C9" s="1447"/>
      <c r="E9" s="664" t="str">
        <f>'État des Résultats'!E9</f>
        <v>Janvier 2021</v>
      </c>
      <c r="F9" s="665"/>
      <c r="G9" s="292"/>
      <c r="H9" s="666" t="str">
        <f>'État des Résultats'!H9</f>
        <v>Février 2021</v>
      </c>
      <c r="I9" s="667"/>
      <c r="J9" s="292"/>
      <c r="K9" s="666" t="str">
        <f>'État des Résultats'!K9</f>
        <v>Mars 2021</v>
      </c>
      <c r="L9" s="667"/>
      <c r="M9" s="292"/>
      <c r="N9" s="664" t="str">
        <f>'État des Résultats'!N9</f>
        <v>Avril 2021</v>
      </c>
      <c r="O9" s="665"/>
      <c r="P9" s="668"/>
      <c r="Q9" s="664" t="str">
        <f>'État des Résultats'!Q9</f>
        <v>Mai 2021</v>
      </c>
      <c r="R9" s="665"/>
      <c r="S9" s="668"/>
      <c r="T9" s="666" t="str">
        <f>'État des Résultats'!T9</f>
        <v>Juin 2021</v>
      </c>
      <c r="U9" s="667"/>
      <c r="V9" s="292"/>
      <c r="W9" s="666" t="str">
        <f>'État des Résultats'!W9</f>
        <v>Juillet 2021</v>
      </c>
      <c r="X9" s="667"/>
      <c r="Y9" s="292"/>
      <c r="Z9" s="666" t="str">
        <f>'État des Résultats'!Z9</f>
        <v>Août 2021</v>
      </c>
      <c r="AA9" s="667"/>
      <c r="AB9" s="292"/>
      <c r="AC9" s="666" t="str">
        <f>'État des Résultats'!AC9</f>
        <v>Septembre 2021</v>
      </c>
      <c r="AD9" s="667"/>
      <c r="AE9" s="292"/>
      <c r="AF9" s="666" t="str">
        <f>'État des Résultats'!AF9</f>
        <v>Octobre 2021</v>
      </c>
      <c r="AG9" s="667"/>
      <c r="AH9" s="292"/>
      <c r="AI9" s="666" t="str">
        <f>'État des Résultats'!AI9</f>
        <v>Novembre 2021</v>
      </c>
      <c r="AJ9" s="667"/>
      <c r="AK9" s="292"/>
      <c r="AL9" s="666" t="str">
        <f>'État des Résultats'!AL9</f>
        <v>Décembre 2021</v>
      </c>
      <c r="AM9" s="667"/>
      <c r="AN9" s="292"/>
      <c r="AO9" s="292"/>
      <c r="AP9" s="669" t="str">
        <f>'État des Résultats'!AP9</f>
        <v>Année</v>
      </c>
      <c r="AQ9" s="670"/>
      <c r="AR9" s="671"/>
      <c r="AS9" s="671"/>
      <c r="AT9" s="328"/>
      <c r="AU9" s="649"/>
      <c r="AV9" s="649"/>
      <c r="AW9" s="649"/>
      <c r="AX9" s="649"/>
      <c r="AY9" s="649"/>
      <c r="AZ9" s="649"/>
    </row>
    <row r="10" spans="2:56" ht="15" thickTop="1" thickBot="1" x14ac:dyDescent="0.2">
      <c r="D10" s="251"/>
      <c r="G10" s="388"/>
      <c r="J10" s="388"/>
      <c r="M10" s="388"/>
      <c r="P10" s="433"/>
      <c r="S10" s="433"/>
      <c r="V10" s="388"/>
      <c r="Y10" s="187"/>
      <c r="AB10" s="388"/>
      <c r="AE10" s="388"/>
      <c r="AH10" s="388"/>
      <c r="AK10" s="388"/>
      <c r="AN10" s="388"/>
      <c r="AO10" s="388"/>
      <c r="AR10" s="170"/>
      <c r="AS10" s="170"/>
      <c r="AT10" s="170"/>
    </row>
    <row r="11" spans="2:56" ht="14" thickTop="1" x14ac:dyDescent="0.15">
      <c r="B11" s="650"/>
      <c r="C11" s="713" t="s">
        <v>371</v>
      </c>
      <c r="E11" s="650"/>
      <c r="F11" s="651"/>
      <c r="H11" s="650"/>
      <c r="I11" s="651"/>
      <c r="K11" s="650"/>
      <c r="L11" s="651"/>
      <c r="N11" s="650"/>
      <c r="O11" s="651"/>
      <c r="Q11" s="650"/>
      <c r="R11" s="651"/>
      <c r="T11" s="650"/>
      <c r="U11" s="651"/>
      <c r="W11" s="650"/>
      <c r="X11" s="651"/>
      <c r="Z11" s="650"/>
      <c r="AA11" s="651"/>
      <c r="AC11" s="650"/>
      <c r="AD11" s="651"/>
      <c r="AF11" s="650"/>
      <c r="AG11" s="651"/>
      <c r="AI11" s="650"/>
      <c r="AJ11" s="651"/>
      <c r="AL11" s="650"/>
      <c r="AM11" s="651"/>
      <c r="AP11" s="613"/>
      <c r="AQ11" s="615"/>
      <c r="AR11" s="187"/>
      <c r="AS11" s="187"/>
      <c r="AT11" s="187"/>
      <c r="AU11" s="187"/>
      <c r="AV11" s="187"/>
      <c r="AW11" s="187"/>
      <c r="AX11" s="187"/>
      <c r="AY11" s="187"/>
      <c r="AZ11" s="187"/>
      <c r="BA11" s="187"/>
      <c r="BB11" s="187"/>
      <c r="BC11" s="187"/>
      <c r="BD11" s="187"/>
    </row>
    <row r="12" spans="2:56" x14ac:dyDescent="0.15">
      <c r="B12" s="190"/>
      <c r="C12" s="652"/>
      <c r="E12" s="190"/>
      <c r="F12" s="391"/>
      <c r="H12" s="190"/>
      <c r="I12" s="391"/>
      <c r="K12" s="190"/>
      <c r="L12" s="391"/>
      <c r="N12" s="190"/>
      <c r="O12" s="391"/>
      <c r="Q12" s="190"/>
      <c r="R12" s="391"/>
      <c r="T12" s="190"/>
      <c r="U12" s="391"/>
      <c r="W12" s="190"/>
      <c r="X12" s="391"/>
      <c r="Z12" s="190"/>
      <c r="AA12" s="391"/>
      <c r="AC12" s="190"/>
      <c r="AD12" s="391"/>
      <c r="AF12" s="190"/>
      <c r="AG12" s="391"/>
      <c r="AI12" s="190"/>
      <c r="AJ12" s="391"/>
      <c r="AL12" s="190"/>
      <c r="AM12" s="191"/>
      <c r="AP12" s="193"/>
      <c r="AQ12" s="494"/>
      <c r="AR12" s="187"/>
      <c r="AS12" s="187"/>
      <c r="AT12" s="187"/>
      <c r="AU12" s="187"/>
      <c r="AV12" s="187"/>
      <c r="AW12" s="187"/>
      <c r="AX12" s="187"/>
      <c r="AY12" s="187"/>
      <c r="AZ12" s="187"/>
      <c r="BA12" s="187"/>
      <c r="BB12" s="187"/>
      <c r="BC12" s="187"/>
      <c r="BD12" s="187"/>
    </row>
    <row r="13" spans="2:56" x14ac:dyDescent="0.15">
      <c r="B13" s="704">
        <v>8510</v>
      </c>
      <c r="C13" s="705" t="s">
        <v>418</v>
      </c>
      <c r="E13" s="793">
        <v>1550</v>
      </c>
      <c r="F13" s="654">
        <f>E13/'État des Résultats'!E$14</f>
        <v>2.1236755571793935E-2</v>
      </c>
      <c r="H13" s="793">
        <f>+E13</f>
        <v>1550</v>
      </c>
      <c r="I13" s="654">
        <f>H13/'État des Résultats'!H$14</f>
        <v>2.1909933681222241E-2</v>
      </c>
      <c r="K13" s="793">
        <f>H13</f>
        <v>1550</v>
      </c>
      <c r="L13" s="654">
        <f>K13/'État des Résultats'!K$14</f>
        <v>1.966194145815495E-2</v>
      </c>
      <c r="N13" s="793">
        <f>K13</f>
        <v>1550</v>
      </c>
      <c r="O13" s="654">
        <f>N13/'État des Résultats'!N$14</f>
        <v>1.8733830551354459E-2</v>
      </c>
      <c r="Q13" s="793">
        <f>N13</f>
        <v>1550</v>
      </c>
      <c r="R13" s="654">
        <f>Q13/'État des Résultats'!Q$14</f>
        <v>1.7399881456291497E-2</v>
      </c>
      <c r="T13" s="793">
        <f>Q13</f>
        <v>1550</v>
      </c>
      <c r="U13" s="654">
        <f>T13/'État des Résultats'!T$14</f>
        <v>1.6931248680318398E-2</v>
      </c>
      <c r="W13" s="793">
        <f>T13</f>
        <v>1550</v>
      </c>
      <c r="X13" s="654">
        <f>W13/'État des Résultats'!W$14</f>
        <v>1.5762964873351437E-2</v>
      </c>
      <c r="Z13" s="793">
        <f>W13</f>
        <v>1550</v>
      </c>
      <c r="AA13" s="654">
        <f>Z13/'État des Résultats'!Z$14</f>
        <v>1.5557616075373537E-2</v>
      </c>
      <c r="AC13" s="793">
        <f>Z13</f>
        <v>1550</v>
      </c>
      <c r="AD13" s="654">
        <f>AC13/'État des Résultats'!AC$14</f>
        <v>1.7014163577681235E-2</v>
      </c>
      <c r="AF13" s="793">
        <f>AC13</f>
        <v>1550</v>
      </c>
      <c r="AG13" s="654">
        <f>AF13/'État des Résultats'!AF$14</f>
        <v>1.6426690093128554E-2</v>
      </c>
      <c r="AI13" s="793">
        <f>AF13</f>
        <v>1550</v>
      </c>
      <c r="AJ13" s="654">
        <f>AI13/'État des Résultats'!AI$14</f>
        <v>1.7672467270828149E-2</v>
      </c>
      <c r="AL13" s="793">
        <f>AI13</f>
        <v>1550</v>
      </c>
      <c r="AM13" s="654">
        <f>AL13/'État des Résultats'!AL$14</f>
        <v>1.5902128248509839E-2</v>
      </c>
      <c r="AP13" s="796">
        <f>SUM(+$AL13+$AI13+$AF13+$AC13+$Z13+$W13+$T13+$Q13+$N13+$K13+$H13+$E13)</f>
        <v>18600</v>
      </c>
      <c r="AQ13" s="656">
        <f>AP13/'État des Résultats'!AP$14</f>
        <v>1.7638222656898697E-2</v>
      </c>
    </row>
    <row r="14" spans="2:56" x14ac:dyDescent="0.15">
      <c r="B14" s="704">
        <v>8520</v>
      </c>
      <c r="C14" s="705" t="s">
        <v>417</v>
      </c>
      <c r="E14" s="793">
        <v>0</v>
      </c>
      <c r="F14" s="654">
        <f>E14/'État des Résultats'!E$14</f>
        <v>0</v>
      </c>
      <c r="H14" s="793">
        <v>0</v>
      </c>
      <c r="I14" s="654">
        <f>H14/'État des Résultats'!H$14</f>
        <v>0</v>
      </c>
      <c r="K14" s="793">
        <v>0</v>
      </c>
      <c r="L14" s="654">
        <f>K14/'État des Résultats'!K$14</f>
        <v>0</v>
      </c>
      <c r="N14" s="793">
        <v>0</v>
      </c>
      <c r="O14" s="654">
        <f>N14/'État des Résultats'!N$14</f>
        <v>0</v>
      </c>
      <c r="Q14" s="793">
        <v>0</v>
      </c>
      <c r="R14" s="654">
        <f>Q14/'État des Résultats'!Q$14</f>
        <v>0</v>
      </c>
      <c r="T14" s="793">
        <v>0</v>
      </c>
      <c r="U14" s="654">
        <f>T14/'État des Résultats'!T$14</f>
        <v>0</v>
      </c>
      <c r="W14" s="793">
        <v>0</v>
      </c>
      <c r="X14" s="654">
        <f>W14/'État des Résultats'!W$14</f>
        <v>0</v>
      </c>
      <c r="Z14" s="793">
        <v>0</v>
      </c>
      <c r="AA14" s="654">
        <f>Z14/'État des Résultats'!Z$14</f>
        <v>0</v>
      </c>
      <c r="AC14" s="793">
        <v>0</v>
      </c>
      <c r="AD14" s="654">
        <f>AC14/'État des Résultats'!AC$14</f>
        <v>0</v>
      </c>
      <c r="AF14" s="793">
        <v>0</v>
      </c>
      <c r="AG14" s="654">
        <f>AF14/'État des Résultats'!AF$14</f>
        <v>0</v>
      </c>
      <c r="AI14" s="793">
        <v>0</v>
      </c>
      <c r="AJ14" s="654">
        <f>AI14/'État des Résultats'!AI$14</f>
        <v>0</v>
      </c>
      <c r="AL14" s="793">
        <v>0</v>
      </c>
      <c r="AM14" s="654">
        <f>AL14/'État des Résultats'!AL$14</f>
        <v>0</v>
      </c>
      <c r="AP14" s="796">
        <f>SUM(+$AL14+$AI14+$AF14+$AC14+$Z14+$W14+$T14+$Q14+$N14+$K14+$H14+$E14)</f>
        <v>0</v>
      </c>
      <c r="AQ14" s="656">
        <f>AP14/'État des Résultats'!AP$14</f>
        <v>0</v>
      </c>
    </row>
    <row r="15" spans="2:56" x14ac:dyDescent="0.15">
      <c r="B15" s="706">
        <v>8530</v>
      </c>
      <c r="C15" s="705" t="s">
        <v>419</v>
      </c>
      <c r="E15" s="793">
        <v>0</v>
      </c>
      <c r="F15" s="654">
        <f>E15/'État des Résultats'!E$14</f>
        <v>0</v>
      </c>
      <c r="H15" s="793">
        <v>0</v>
      </c>
      <c r="I15" s="654">
        <f>H15/'État des Résultats'!H$14</f>
        <v>0</v>
      </c>
      <c r="K15" s="793">
        <v>0</v>
      </c>
      <c r="L15" s="654">
        <f>K15/'État des Résultats'!K$14</f>
        <v>0</v>
      </c>
      <c r="N15" s="793">
        <v>0</v>
      </c>
      <c r="O15" s="654">
        <f>N15/'État des Résultats'!N$14</f>
        <v>0</v>
      </c>
      <c r="Q15" s="793">
        <v>0</v>
      </c>
      <c r="R15" s="654">
        <f>Q15/'État des Résultats'!Q$14</f>
        <v>0</v>
      </c>
      <c r="T15" s="793">
        <v>0</v>
      </c>
      <c r="U15" s="654">
        <f>T15/'État des Résultats'!T$14</f>
        <v>0</v>
      </c>
      <c r="W15" s="793">
        <v>0</v>
      </c>
      <c r="X15" s="654">
        <f>W15/'État des Résultats'!W$14</f>
        <v>0</v>
      </c>
      <c r="Z15" s="793">
        <v>0</v>
      </c>
      <c r="AA15" s="654">
        <f>Z15/'État des Résultats'!Z$14</f>
        <v>0</v>
      </c>
      <c r="AC15" s="793">
        <v>0</v>
      </c>
      <c r="AD15" s="654">
        <f>AC15/'État des Résultats'!AC$14</f>
        <v>0</v>
      </c>
      <c r="AF15" s="793">
        <v>0</v>
      </c>
      <c r="AG15" s="654">
        <f>AF15/'État des Résultats'!AF$14</f>
        <v>0</v>
      </c>
      <c r="AI15" s="793">
        <v>0</v>
      </c>
      <c r="AJ15" s="654">
        <f>AI15/'État des Résultats'!AI$14</f>
        <v>0</v>
      </c>
      <c r="AL15" s="793">
        <v>0</v>
      </c>
      <c r="AM15" s="654">
        <f>AL15/'État des Résultats'!AL$14</f>
        <v>0</v>
      </c>
      <c r="AP15" s="796">
        <f>SUM(+$AL15+$AI15+$AF15+$AC15+$Z15+$W15+$T15+$Q15+$N15+$K15+$H15+$E15)</f>
        <v>0</v>
      </c>
      <c r="AQ15" s="656">
        <f>AP15/'État des Résultats'!AP$14</f>
        <v>0</v>
      </c>
    </row>
    <row r="16" spans="2:56" x14ac:dyDescent="0.15">
      <c r="B16" s="706">
        <v>8540</v>
      </c>
      <c r="C16" s="705" t="s">
        <v>372</v>
      </c>
      <c r="E16" s="793">
        <v>0</v>
      </c>
      <c r="F16" s="654">
        <f>E16/'État des Résultats'!E$14</f>
        <v>0</v>
      </c>
      <c r="G16" s="658" t="s">
        <v>2</v>
      </c>
      <c r="H16" s="793">
        <v>0</v>
      </c>
      <c r="I16" s="654">
        <f>H16/'État des Résultats'!H$14</f>
        <v>0</v>
      </c>
      <c r="K16" s="793">
        <v>0</v>
      </c>
      <c r="L16" s="654">
        <f>K16/'État des Résultats'!K$14</f>
        <v>0</v>
      </c>
      <c r="N16" s="793">
        <v>0</v>
      </c>
      <c r="O16" s="654">
        <f>N16/'État des Résultats'!N$14</f>
        <v>0</v>
      </c>
      <c r="Q16" s="793">
        <v>0</v>
      </c>
      <c r="R16" s="654">
        <f>Q16/'État des Résultats'!Q$14</f>
        <v>0</v>
      </c>
      <c r="T16" s="793">
        <v>0</v>
      </c>
      <c r="U16" s="654">
        <f>T16/'État des Résultats'!T$14</f>
        <v>0</v>
      </c>
      <c r="W16" s="793">
        <v>0</v>
      </c>
      <c r="X16" s="654">
        <f>W16/'État des Résultats'!W$14</f>
        <v>0</v>
      </c>
      <c r="Z16" s="793">
        <v>0</v>
      </c>
      <c r="AA16" s="654">
        <f>Z16/'État des Résultats'!Z$14</f>
        <v>0</v>
      </c>
      <c r="AC16" s="793">
        <v>0</v>
      </c>
      <c r="AD16" s="654">
        <f>AC16/'État des Résultats'!AC$14</f>
        <v>0</v>
      </c>
      <c r="AF16" s="793">
        <v>0</v>
      </c>
      <c r="AG16" s="654">
        <f>AF16/'État des Résultats'!AF$14</f>
        <v>0</v>
      </c>
      <c r="AI16" s="793">
        <v>0</v>
      </c>
      <c r="AJ16" s="654">
        <f>AI16/'État des Résultats'!AI$14</f>
        <v>0</v>
      </c>
      <c r="AL16" s="793">
        <v>0</v>
      </c>
      <c r="AM16" s="654">
        <f>AL16/'État des Résultats'!AL$14</f>
        <v>0</v>
      </c>
      <c r="AP16" s="796">
        <f t="shared" ref="AP16:AP22" si="0">SUM(+$AL16+$AI16+$AF16+$AC16+$Z16+$W16+$T16+$Q16+$N16+$K16+$H16+$E16)</f>
        <v>0</v>
      </c>
      <c r="AQ16" s="656">
        <f>AP16/'État des Résultats'!AP$14</f>
        <v>0</v>
      </c>
    </row>
    <row r="17" spans="2:69" x14ac:dyDescent="0.15">
      <c r="B17" s="706">
        <v>8550</v>
      </c>
      <c r="C17" s="705" t="s">
        <v>372</v>
      </c>
      <c r="E17" s="793">
        <v>0</v>
      </c>
      <c r="F17" s="654">
        <f>E17/'État des Résultats'!E$14</f>
        <v>0</v>
      </c>
      <c r="H17" s="793">
        <v>0</v>
      </c>
      <c r="I17" s="654">
        <f>H17/'État des Résultats'!H$14</f>
        <v>0</v>
      </c>
      <c r="K17" s="793">
        <v>0</v>
      </c>
      <c r="L17" s="654">
        <f>K17/'État des Résultats'!K$14</f>
        <v>0</v>
      </c>
      <c r="N17" s="793">
        <v>0</v>
      </c>
      <c r="O17" s="654">
        <f>N17/'État des Résultats'!N$14</f>
        <v>0</v>
      </c>
      <c r="Q17" s="793">
        <v>0</v>
      </c>
      <c r="R17" s="654">
        <f>Q17/'État des Résultats'!Q$14</f>
        <v>0</v>
      </c>
      <c r="T17" s="793">
        <v>0</v>
      </c>
      <c r="U17" s="654">
        <f>T17/'État des Résultats'!T$14</f>
        <v>0</v>
      </c>
      <c r="W17" s="793">
        <v>0</v>
      </c>
      <c r="X17" s="654">
        <f>W17/'État des Résultats'!W$14</f>
        <v>0</v>
      </c>
      <c r="Z17" s="793">
        <v>0</v>
      </c>
      <c r="AA17" s="654">
        <f>Z17/'État des Résultats'!Z$14</f>
        <v>0</v>
      </c>
      <c r="AC17" s="793">
        <v>0</v>
      </c>
      <c r="AD17" s="654">
        <f>AC17/'État des Résultats'!AC$14</f>
        <v>0</v>
      </c>
      <c r="AF17" s="793">
        <v>0</v>
      </c>
      <c r="AG17" s="654">
        <f>AF17/'État des Résultats'!AF$14</f>
        <v>0</v>
      </c>
      <c r="AI17" s="793">
        <v>0</v>
      </c>
      <c r="AJ17" s="654">
        <f>AI17/'État des Résultats'!AI$14</f>
        <v>0</v>
      </c>
      <c r="AL17" s="793">
        <v>0</v>
      </c>
      <c r="AM17" s="654">
        <f>AL17/'État des Résultats'!AL$14</f>
        <v>0</v>
      </c>
      <c r="AP17" s="796">
        <f t="shared" si="0"/>
        <v>0</v>
      </c>
      <c r="AQ17" s="656">
        <f>AP17/'État des Résultats'!AP$14</f>
        <v>0</v>
      </c>
    </row>
    <row r="18" spans="2:69" x14ac:dyDescent="0.15">
      <c r="B18" s="706">
        <v>8560</v>
      </c>
      <c r="C18" s="705" t="s">
        <v>372</v>
      </c>
      <c r="E18" s="793">
        <v>0</v>
      </c>
      <c r="F18" s="654">
        <f>E18/'État des Résultats'!E$14</f>
        <v>0</v>
      </c>
      <c r="H18" s="793">
        <v>0</v>
      </c>
      <c r="I18" s="654">
        <f>H18/'État des Résultats'!H$14</f>
        <v>0</v>
      </c>
      <c r="K18" s="793">
        <v>0</v>
      </c>
      <c r="L18" s="654">
        <f>K18/'État des Résultats'!K$14</f>
        <v>0</v>
      </c>
      <c r="N18" s="793">
        <v>0</v>
      </c>
      <c r="O18" s="654">
        <f>N18/'État des Résultats'!N$14</f>
        <v>0</v>
      </c>
      <c r="Q18" s="793">
        <v>0</v>
      </c>
      <c r="R18" s="654">
        <f>Q18/'État des Résultats'!Q$14</f>
        <v>0</v>
      </c>
      <c r="T18" s="793">
        <v>0</v>
      </c>
      <c r="U18" s="654">
        <f>T18/'État des Résultats'!T$14</f>
        <v>0</v>
      </c>
      <c r="W18" s="793">
        <v>0</v>
      </c>
      <c r="X18" s="654">
        <f>W18/'État des Résultats'!W$14</f>
        <v>0</v>
      </c>
      <c r="Z18" s="793">
        <v>0</v>
      </c>
      <c r="AA18" s="654">
        <f>Z18/'État des Résultats'!Z$14</f>
        <v>0</v>
      </c>
      <c r="AC18" s="793">
        <v>0</v>
      </c>
      <c r="AD18" s="654">
        <f>AC18/'État des Résultats'!AC$14</f>
        <v>0</v>
      </c>
      <c r="AF18" s="793">
        <v>0</v>
      </c>
      <c r="AG18" s="654">
        <f>AF18/'État des Résultats'!AF$14</f>
        <v>0</v>
      </c>
      <c r="AI18" s="793">
        <v>0</v>
      </c>
      <c r="AJ18" s="654">
        <f>AI18/'État des Résultats'!AI$14</f>
        <v>0</v>
      </c>
      <c r="AL18" s="793">
        <v>0</v>
      </c>
      <c r="AM18" s="654">
        <f>AL18/'État des Résultats'!AL$14</f>
        <v>0</v>
      </c>
      <c r="AP18" s="796">
        <f t="shared" si="0"/>
        <v>0</v>
      </c>
      <c r="AQ18" s="656">
        <f>AP18/'État des Résultats'!AP$14</f>
        <v>0</v>
      </c>
    </row>
    <row r="19" spans="2:69" x14ac:dyDescent="0.15">
      <c r="B19" s="706">
        <v>8570</v>
      </c>
      <c r="C19" s="705" t="s">
        <v>372</v>
      </c>
      <c r="E19" s="793">
        <v>0</v>
      </c>
      <c r="F19" s="654">
        <f>E19/'État des Résultats'!E$14</f>
        <v>0</v>
      </c>
      <c r="H19" s="793">
        <v>0</v>
      </c>
      <c r="I19" s="654">
        <f>H19/'État des Résultats'!H$14</f>
        <v>0</v>
      </c>
      <c r="K19" s="793">
        <v>0</v>
      </c>
      <c r="L19" s="654">
        <f>K19/'État des Résultats'!K$14</f>
        <v>0</v>
      </c>
      <c r="N19" s="793">
        <v>0</v>
      </c>
      <c r="O19" s="654">
        <f>N19/'État des Résultats'!N$14</f>
        <v>0</v>
      </c>
      <c r="Q19" s="793">
        <v>0</v>
      </c>
      <c r="R19" s="654">
        <f>Q19/'État des Résultats'!Q$14</f>
        <v>0</v>
      </c>
      <c r="T19" s="793">
        <v>0</v>
      </c>
      <c r="U19" s="654">
        <f>T19/'État des Résultats'!T$14</f>
        <v>0</v>
      </c>
      <c r="W19" s="793">
        <v>0</v>
      </c>
      <c r="X19" s="654">
        <f>W19/'État des Résultats'!W$14</f>
        <v>0</v>
      </c>
      <c r="Z19" s="793">
        <v>0</v>
      </c>
      <c r="AA19" s="654">
        <f>Z19/'État des Résultats'!Z$14</f>
        <v>0</v>
      </c>
      <c r="AC19" s="793">
        <v>0</v>
      </c>
      <c r="AD19" s="654">
        <f>AC19/'État des Résultats'!AC$14</f>
        <v>0</v>
      </c>
      <c r="AF19" s="793">
        <v>0</v>
      </c>
      <c r="AG19" s="654">
        <f>AF19/'État des Résultats'!AF$14</f>
        <v>0</v>
      </c>
      <c r="AI19" s="793">
        <v>0</v>
      </c>
      <c r="AJ19" s="654">
        <f>AI19/'État des Résultats'!AI$14</f>
        <v>0</v>
      </c>
      <c r="AL19" s="793">
        <v>0</v>
      </c>
      <c r="AM19" s="654">
        <f>AL19/'État des Résultats'!AL$14</f>
        <v>0</v>
      </c>
      <c r="AP19" s="796">
        <f t="shared" si="0"/>
        <v>0</v>
      </c>
      <c r="AQ19" s="656">
        <f>AP19/'État des Résultats'!AP$14</f>
        <v>0</v>
      </c>
      <c r="AS19" s="209"/>
    </row>
    <row r="20" spans="2:69" x14ac:dyDescent="0.15">
      <c r="B20" s="706">
        <v>8580</v>
      </c>
      <c r="C20" s="705" t="s">
        <v>372</v>
      </c>
      <c r="E20" s="793">
        <v>0</v>
      </c>
      <c r="F20" s="654">
        <f>E20/'État des Résultats'!E$14</f>
        <v>0</v>
      </c>
      <c r="H20" s="793">
        <v>0</v>
      </c>
      <c r="I20" s="654">
        <f>H20/'État des Résultats'!H$14</f>
        <v>0</v>
      </c>
      <c r="K20" s="793">
        <v>0</v>
      </c>
      <c r="L20" s="654">
        <f>K20/'État des Résultats'!K$14</f>
        <v>0</v>
      </c>
      <c r="N20" s="793">
        <v>0</v>
      </c>
      <c r="O20" s="654">
        <f>N20/'État des Résultats'!N$14</f>
        <v>0</v>
      </c>
      <c r="Q20" s="793">
        <v>0</v>
      </c>
      <c r="R20" s="654">
        <f>Q20/'État des Résultats'!Q$14</f>
        <v>0</v>
      </c>
      <c r="T20" s="793">
        <v>0</v>
      </c>
      <c r="U20" s="654">
        <f>T20/'État des Résultats'!T$14</f>
        <v>0</v>
      </c>
      <c r="W20" s="793">
        <v>0</v>
      </c>
      <c r="X20" s="654">
        <f>W20/'État des Résultats'!W$14</f>
        <v>0</v>
      </c>
      <c r="Z20" s="793">
        <v>0</v>
      </c>
      <c r="AA20" s="654">
        <f>Z20/'État des Résultats'!Z$14</f>
        <v>0</v>
      </c>
      <c r="AC20" s="793">
        <v>0</v>
      </c>
      <c r="AD20" s="654">
        <f>AC20/'État des Résultats'!AC$14</f>
        <v>0</v>
      </c>
      <c r="AF20" s="793">
        <v>0</v>
      </c>
      <c r="AG20" s="654">
        <f>AF20/'État des Résultats'!AF$14</f>
        <v>0</v>
      </c>
      <c r="AI20" s="793">
        <v>0</v>
      </c>
      <c r="AJ20" s="654">
        <f>AI20/'État des Résultats'!AI$14</f>
        <v>0</v>
      </c>
      <c r="AL20" s="793">
        <v>0</v>
      </c>
      <c r="AM20" s="654">
        <f>AL20/'État des Résultats'!AL$14</f>
        <v>0</v>
      </c>
      <c r="AP20" s="796">
        <f t="shared" si="0"/>
        <v>0</v>
      </c>
      <c r="AQ20" s="656">
        <f>AP20/'État des Résultats'!AP$14</f>
        <v>0</v>
      </c>
    </row>
    <row r="21" spans="2:69" x14ac:dyDescent="0.15">
      <c r="B21" s="706">
        <v>8190</v>
      </c>
      <c r="C21" s="705" t="s">
        <v>372</v>
      </c>
      <c r="E21" s="793">
        <v>0</v>
      </c>
      <c r="F21" s="654">
        <f>E21/'État des Résultats'!E$14</f>
        <v>0</v>
      </c>
      <c r="H21" s="793">
        <v>0</v>
      </c>
      <c r="I21" s="654">
        <f>H21/'État des Résultats'!H$14</f>
        <v>0</v>
      </c>
      <c r="K21" s="793">
        <v>0</v>
      </c>
      <c r="L21" s="654">
        <f>K21/'État des Résultats'!K$14</f>
        <v>0</v>
      </c>
      <c r="N21" s="793">
        <v>0</v>
      </c>
      <c r="O21" s="654">
        <f>N21/'État des Résultats'!N$14</f>
        <v>0</v>
      </c>
      <c r="Q21" s="793">
        <v>0</v>
      </c>
      <c r="R21" s="654">
        <f>Q21/'État des Résultats'!Q$14</f>
        <v>0</v>
      </c>
      <c r="T21" s="793">
        <v>0</v>
      </c>
      <c r="U21" s="654">
        <f>T21/'État des Résultats'!T$14</f>
        <v>0</v>
      </c>
      <c r="W21" s="793">
        <v>0</v>
      </c>
      <c r="X21" s="654">
        <f>W21/'État des Résultats'!W$14</f>
        <v>0</v>
      </c>
      <c r="Z21" s="793">
        <v>0</v>
      </c>
      <c r="AA21" s="654">
        <f>Z21/'État des Résultats'!Z$14</f>
        <v>0</v>
      </c>
      <c r="AC21" s="793">
        <v>0</v>
      </c>
      <c r="AD21" s="654">
        <f>AC21/'État des Résultats'!AC$14</f>
        <v>0</v>
      </c>
      <c r="AF21" s="793">
        <v>0</v>
      </c>
      <c r="AG21" s="654">
        <f>AF21/'État des Résultats'!AF$14</f>
        <v>0</v>
      </c>
      <c r="AI21" s="793">
        <v>0</v>
      </c>
      <c r="AJ21" s="654">
        <f>AI21/'État des Résultats'!AI$14</f>
        <v>0</v>
      </c>
      <c r="AL21" s="793">
        <v>0</v>
      </c>
      <c r="AM21" s="654">
        <f>AL21/'État des Résultats'!AL$14</f>
        <v>0</v>
      </c>
      <c r="AP21" s="796">
        <f t="shared" si="0"/>
        <v>0</v>
      </c>
      <c r="AQ21" s="656">
        <f>AP21/'État des Résultats'!AP$14</f>
        <v>0</v>
      </c>
    </row>
    <row r="22" spans="2:69" x14ac:dyDescent="0.15">
      <c r="B22" s="706">
        <v>8199</v>
      </c>
      <c r="C22" s="705" t="s">
        <v>372</v>
      </c>
      <c r="E22" s="793">
        <v>0</v>
      </c>
      <c r="F22" s="654">
        <f>E22/'État des Résultats'!E$14</f>
        <v>0</v>
      </c>
      <c r="H22" s="793">
        <v>0</v>
      </c>
      <c r="I22" s="654">
        <f>H22/'État des Résultats'!H$14</f>
        <v>0</v>
      </c>
      <c r="K22" s="793">
        <v>0</v>
      </c>
      <c r="L22" s="654">
        <f>K22/'État des Résultats'!K$14</f>
        <v>0</v>
      </c>
      <c r="N22" s="793">
        <v>0</v>
      </c>
      <c r="O22" s="654">
        <f>N22/'État des Résultats'!N$14</f>
        <v>0</v>
      </c>
      <c r="Q22" s="793">
        <v>0</v>
      </c>
      <c r="R22" s="654">
        <f>Q22/'État des Résultats'!Q$14</f>
        <v>0</v>
      </c>
      <c r="T22" s="793">
        <v>0</v>
      </c>
      <c r="U22" s="654">
        <f>T22/'État des Résultats'!T$14</f>
        <v>0</v>
      </c>
      <c r="W22" s="793">
        <v>0</v>
      </c>
      <c r="X22" s="654">
        <f>W22/'État des Résultats'!W$14</f>
        <v>0</v>
      </c>
      <c r="Z22" s="793">
        <v>0</v>
      </c>
      <c r="AA22" s="654">
        <f>Z22/'État des Résultats'!Z$14</f>
        <v>0</v>
      </c>
      <c r="AC22" s="793">
        <v>0</v>
      </c>
      <c r="AD22" s="654">
        <f>AC22/'État des Résultats'!AC$14</f>
        <v>0</v>
      </c>
      <c r="AF22" s="793">
        <v>0</v>
      </c>
      <c r="AG22" s="654">
        <f>AF22/'État des Résultats'!AF$14</f>
        <v>0</v>
      </c>
      <c r="AI22" s="793">
        <v>0</v>
      </c>
      <c r="AJ22" s="654">
        <f>AI22/'État des Résultats'!AI$14</f>
        <v>0</v>
      </c>
      <c r="AL22" s="793">
        <v>0</v>
      </c>
      <c r="AM22" s="654">
        <f>AL22/'État des Résultats'!AL$14</f>
        <v>0</v>
      </c>
      <c r="AP22" s="796">
        <f t="shared" si="0"/>
        <v>0</v>
      </c>
      <c r="AQ22" s="656">
        <f>AP22/'État des Résultats'!AP$14</f>
        <v>0</v>
      </c>
    </row>
    <row r="23" spans="2:69" ht="14" thickBot="1" x14ac:dyDescent="0.2">
      <c r="B23" s="708" t="s">
        <v>2</v>
      </c>
      <c r="C23" s="709"/>
      <c r="E23" s="794" t="s">
        <v>2</v>
      </c>
      <c r="F23" s="659" t="s">
        <v>2</v>
      </c>
      <c r="H23" s="794" t="s">
        <v>2</v>
      </c>
      <c r="I23" s="659" t="s">
        <v>2</v>
      </c>
      <c r="K23" s="794" t="s">
        <v>2</v>
      </c>
      <c r="L23" s="659" t="s">
        <v>2</v>
      </c>
      <c r="N23" s="794" t="s">
        <v>2</v>
      </c>
      <c r="O23" s="659" t="s">
        <v>2</v>
      </c>
      <c r="Q23" s="794" t="s">
        <v>2</v>
      </c>
      <c r="R23" s="659" t="s">
        <v>2</v>
      </c>
      <c r="S23" s="710"/>
      <c r="T23" s="794" t="s">
        <v>2</v>
      </c>
      <c r="U23" s="659" t="s">
        <v>2</v>
      </c>
      <c r="W23" s="794" t="s">
        <v>2</v>
      </c>
      <c r="X23" s="659" t="s">
        <v>2</v>
      </c>
      <c r="Z23" s="794" t="s">
        <v>2</v>
      </c>
      <c r="AA23" s="659" t="s">
        <v>2</v>
      </c>
      <c r="AC23" s="794" t="s">
        <v>2</v>
      </c>
      <c r="AD23" s="659" t="s">
        <v>2</v>
      </c>
      <c r="AF23" s="794" t="s">
        <v>2</v>
      </c>
      <c r="AG23" s="659" t="s">
        <v>2</v>
      </c>
      <c r="AI23" s="794" t="s">
        <v>2</v>
      </c>
      <c r="AJ23" s="659" t="s">
        <v>2</v>
      </c>
      <c r="AL23" s="794" t="s">
        <v>2</v>
      </c>
      <c r="AM23" s="659" t="s">
        <v>2</v>
      </c>
      <c r="AP23" s="796" t="s">
        <v>2</v>
      </c>
      <c r="AQ23" s="660" t="s">
        <v>2</v>
      </c>
    </row>
    <row r="24" spans="2:69" ht="15" thickTop="1" thickBot="1" x14ac:dyDescent="0.2">
      <c r="B24" s="469">
        <v>8500</v>
      </c>
      <c r="C24" s="470" t="s">
        <v>373</v>
      </c>
      <c r="D24" s="213"/>
      <c r="E24" s="795">
        <f>SUM(E13:E22)</f>
        <v>1550</v>
      </c>
      <c r="F24" s="662">
        <f>E24/'État des Résultats'!E14</f>
        <v>2.1236755571793935E-2</v>
      </c>
      <c r="G24" s="213"/>
      <c r="H24" s="795">
        <f>SUM(H13:H22)</f>
        <v>1550</v>
      </c>
      <c r="I24" s="662">
        <f>H24/'État des Résultats'!H14</f>
        <v>2.1909933681222241E-2</v>
      </c>
      <c r="J24" s="213"/>
      <c r="K24" s="795">
        <f>SUM(K13:K22)</f>
        <v>1550</v>
      </c>
      <c r="L24" s="662">
        <f>K24/'État des Résultats'!K14</f>
        <v>1.966194145815495E-2</v>
      </c>
      <c r="M24" s="213"/>
      <c r="N24" s="795">
        <f>SUM(N13:N22)</f>
        <v>1550</v>
      </c>
      <c r="O24" s="662">
        <f>N24/'État des Résultats'!N14</f>
        <v>1.8733830551354459E-2</v>
      </c>
      <c r="P24" s="213"/>
      <c r="Q24" s="795">
        <f>SUM(Q13:Q22)</f>
        <v>1550</v>
      </c>
      <c r="R24" s="662">
        <f>Q24/'État des Résultats'!Q14</f>
        <v>1.7399881456291497E-2</v>
      </c>
      <c r="S24" s="213"/>
      <c r="T24" s="795">
        <f>SUM(T13:T22)</f>
        <v>1550</v>
      </c>
      <c r="U24" s="662">
        <f>T24/'État des Résultats'!T14</f>
        <v>1.6931248680318398E-2</v>
      </c>
      <c r="V24" s="213"/>
      <c r="W24" s="795">
        <f>SUM(W13:W22)</f>
        <v>1550</v>
      </c>
      <c r="X24" s="662">
        <f>W24/'État des Résultats'!W14</f>
        <v>1.5762964873351437E-2</v>
      </c>
      <c r="Y24" s="213"/>
      <c r="Z24" s="795">
        <f>SUM(Z13:Z22)</f>
        <v>1550</v>
      </c>
      <c r="AA24" s="662">
        <f>Z24/'État des Résultats'!Z14</f>
        <v>1.5557616075373537E-2</v>
      </c>
      <c r="AB24" s="213"/>
      <c r="AC24" s="795">
        <f>SUM(AC13:AC22)</f>
        <v>1550</v>
      </c>
      <c r="AD24" s="662">
        <f>AC24/'État des Résultats'!AC14</f>
        <v>1.7014163577681235E-2</v>
      </c>
      <c r="AE24" s="213"/>
      <c r="AF24" s="795">
        <f>SUM(AF13:AF22)</f>
        <v>1550</v>
      </c>
      <c r="AG24" s="662">
        <f>AF24/'État des Résultats'!AF14</f>
        <v>1.6426690093128554E-2</v>
      </c>
      <c r="AH24" s="213"/>
      <c r="AI24" s="795">
        <f>SUM(AI13:AI22)</f>
        <v>1550</v>
      </c>
      <c r="AJ24" s="662">
        <f>AI24/'État des Résultats'!AI14</f>
        <v>1.7672467270828149E-2</v>
      </c>
      <c r="AK24" s="213"/>
      <c r="AL24" s="795">
        <f>SUM(AL13:AL22)</f>
        <v>1550</v>
      </c>
      <c r="AM24" s="662">
        <f>AL24/'État des Résultats'!AL14</f>
        <v>1.5902128248509839E-2</v>
      </c>
      <c r="AN24" s="213"/>
      <c r="AO24" s="213"/>
      <c r="AP24" s="795">
        <f>SUM(AP13:AP22)</f>
        <v>18600</v>
      </c>
      <c r="AQ24" s="662">
        <f>AP24/'État des Résultats'!AP14</f>
        <v>1.7638222656898697E-2</v>
      </c>
      <c r="AR24" s="213"/>
      <c r="AS24" s="213"/>
      <c r="AT24" s="213"/>
      <c r="AU24" s="251"/>
    </row>
    <row r="25" spans="2:69" ht="14" thickTop="1" x14ac:dyDescent="0.15">
      <c r="L25" s="314"/>
      <c r="O25" s="314"/>
      <c r="R25" s="314"/>
      <c r="U25" s="314"/>
      <c r="X25" s="314"/>
      <c r="AA25" s="314"/>
      <c r="AD25" s="314"/>
      <c r="AG25" s="314"/>
      <c r="AJ25" s="314"/>
      <c r="AM25" s="314"/>
      <c r="AQ25" s="314"/>
    </row>
    <row r="26" spans="2:69" x14ac:dyDescent="0.15">
      <c r="R26" s="314"/>
      <c r="U26" s="314"/>
      <c r="X26" s="314"/>
      <c r="AD26" s="314"/>
      <c r="AG26" s="314"/>
      <c r="AJ26" s="314"/>
      <c r="AM26" s="314"/>
    </row>
    <row r="27" spans="2:69" x14ac:dyDescent="0.15">
      <c r="U27" s="314"/>
      <c r="AG27" s="314"/>
      <c r="AJ27" s="314"/>
      <c r="AM27" s="314"/>
    </row>
    <row r="28" spans="2:69" x14ac:dyDescent="0.15">
      <c r="C28" s="161" t="s">
        <v>2</v>
      </c>
      <c r="E28" s="161" t="s">
        <v>2</v>
      </c>
      <c r="G28" s="161" t="s">
        <v>2</v>
      </c>
      <c r="H28" s="161" t="s">
        <v>2</v>
      </c>
      <c r="U28" s="314"/>
      <c r="AG28" s="314"/>
      <c r="AJ28" s="314"/>
      <c r="AM28" s="314"/>
    </row>
    <row r="29" spans="2:69" x14ac:dyDescent="0.15">
      <c r="H29" s="161" t="s">
        <v>2</v>
      </c>
      <c r="AG29" s="314"/>
      <c r="AJ29" s="314"/>
      <c r="AM29" s="314"/>
    </row>
    <row r="30" spans="2:69" x14ac:dyDescent="0.15">
      <c r="H30" s="161" t="s">
        <v>2</v>
      </c>
      <c r="AM30" s="314"/>
    </row>
    <row r="31" spans="2:69" x14ac:dyDescent="0.15">
      <c r="H31" s="161" t="s">
        <v>2</v>
      </c>
      <c r="BB31" s="170"/>
      <c r="BC31" s="170"/>
      <c r="BD31" s="170"/>
      <c r="BE31" s="170"/>
      <c r="BF31" s="170"/>
      <c r="BG31" s="170"/>
      <c r="BH31" s="170"/>
      <c r="BI31" s="170"/>
      <c r="BJ31" s="170"/>
      <c r="BK31" s="170"/>
      <c r="BL31" s="170"/>
      <c r="BM31" s="170"/>
      <c r="BN31" s="170"/>
      <c r="BO31" s="170"/>
      <c r="BP31" s="170"/>
      <c r="BQ31" s="170"/>
    </row>
    <row r="32" spans="2:69" x14ac:dyDescent="0.15">
      <c r="H32" s="161" t="s">
        <v>2</v>
      </c>
    </row>
    <row r="33" spans="8:8" x14ac:dyDescent="0.15">
      <c r="H33" s="161" t="s">
        <v>2</v>
      </c>
    </row>
    <row r="43" spans="8:8" x14ac:dyDescent="0.15">
      <c r="H43" s="663"/>
    </row>
  </sheetData>
  <sheetProtection algorithmName="SHA-512" hashValue="pXQz8nhW8/H7hutKpiRfio78mvgYcMFHPIP5QThXh/RVo4V1niVG5uxNb/S85r8zBr+97ZGWuVfeAtoi9CcP7Q==" saltValue="/nPzreXCNYw41coDC3ShFA==" spinCount="100000" sheet="1" objects="1" scenarios="1"/>
  <mergeCells count="9">
    <mergeCell ref="B9:C9"/>
    <mergeCell ref="AS2:AS8"/>
    <mergeCell ref="BC2:BC8"/>
    <mergeCell ref="B2:C2"/>
    <mergeCell ref="B3:C3"/>
    <mergeCell ref="B4:C4"/>
    <mergeCell ref="B6:C6"/>
    <mergeCell ref="B7:C7"/>
    <mergeCell ref="B8:C8"/>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6AA9B-8BAF-0D41-A3A4-3D5200103F3E}">
  <sheetPr codeName="Feuil5">
    <tabColor indexed="46"/>
    <pageSetUpPr fitToPage="1"/>
  </sheetPr>
  <dimension ref="B1:BL48"/>
  <sheetViews>
    <sheetView zoomScale="160" zoomScaleNormal="160" zoomScalePageLayoutView="150" workbookViewId="0">
      <pane xSplit="3" ySplit="9" topLeftCell="AD10" activePane="bottomRight" state="frozen"/>
      <selection pane="topRight" activeCell="C1" sqref="C1"/>
      <selection pane="bottomLeft" activeCell="A10" sqref="A10"/>
      <selection pane="bottomRight" activeCell="AP11" sqref="AP11"/>
    </sheetView>
  </sheetViews>
  <sheetFormatPr baseColWidth="10" defaultRowHeight="13" x14ac:dyDescent="0.15"/>
  <cols>
    <col min="1" max="2" width="1.5" style="161" customWidth="1"/>
    <col min="3" max="3" width="56.33203125" style="161" bestFit="1" customWidth="1"/>
    <col min="4" max="4" width="1" style="161" customWidth="1"/>
    <col min="5" max="5" width="14.6640625" style="161" customWidth="1"/>
    <col min="6" max="6" width="9.1640625" style="161" customWidth="1"/>
    <col min="7" max="7" width="1" style="161" customWidth="1"/>
    <col min="8" max="8" width="14.6640625" style="161" customWidth="1"/>
    <col min="9" max="9" width="9.1640625" style="161" customWidth="1"/>
    <col min="10" max="10" width="0.83203125" style="161" customWidth="1"/>
    <col min="11" max="11" width="14.6640625" style="161" customWidth="1"/>
    <col min="12" max="12" width="9.1640625" style="161" customWidth="1"/>
    <col min="13" max="13" width="0.83203125" style="161" customWidth="1"/>
    <col min="14" max="14" width="14.6640625" style="161" customWidth="1"/>
    <col min="15" max="15" width="9.1640625" style="161" customWidth="1"/>
    <col min="16" max="16" width="0.83203125" style="161" customWidth="1"/>
    <col min="17" max="17" width="14.6640625" style="161" customWidth="1"/>
    <col min="18" max="18" width="9.1640625" style="161" customWidth="1"/>
    <col min="19" max="19" width="0.83203125" style="161" customWidth="1"/>
    <col min="20" max="20" width="14.6640625" style="161" customWidth="1"/>
    <col min="21" max="21" width="9.1640625" style="161" customWidth="1"/>
    <col min="22" max="22" width="1.6640625" style="161" customWidth="1"/>
    <col min="23" max="23" width="12.5" style="161" customWidth="1"/>
    <col min="24" max="24" width="9.6640625" style="161" customWidth="1"/>
    <col min="25" max="25" width="0.83203125" style="161" customWidth="1"/>
    <col min="26" max="26" width="14.6640625" style="161" customWidth="1"/>
    <col min="27" max="27" width="9.1640625" style="161" customWidth="1"/>
    <col min="28" max="28" width="0.83203125" style="161" customWidth="1"/>
    <col min="29" max="29" width="14.6640625" style="161" customWidth="1"/>
    <col min="30" max="30" width="9.1640625" style="161" customWidth="1"/>
    <col min="31" max="31" width="0.83203125" style="161" customWidth="1"/>
    <col min="32" max="32" width="14.6640625" style="161" customWidth="1"/>
    <col min="33" max="33" width="9.1640625" style="161" customWidth="1"/>
    <col min="34" max="34" width="0.83203125" style="161" customWidth="1"/>
    <col min="35" max="35" width="14.6640625" style="161" customWidth="1"/>
    <col min="36" max="36" width="9.1640625" style="161" customWidth="1"/>
    <col min="37" max="37" width="0.83203125" style="161" customWidth="1"/>
    <col min="38" max="38" width="14.6640625" style="161" customWidth="1"/>
    <col min="39" max="39" width="9.1640625" style="161" customWidth="1"/>
    <col min="40" max="41" width="0.83203125" style="161" customWidth="1"/>
    <col min="42" max="42" width="14.6640625" style="161" customWidth="1"/>
    <col min="43" max="43" width="9.1640625" style="161" customWidth="1"/>
    <col min="44" max="44" width="0.83203125" style="161" customWidth="1"/>
    <col min="45" max="46" width="14.6640625" style="161" customWidth="1"/>
    <col min="47" max="47" width="0.83203125" style="161" customWidth="1"/>
    <col min="48" max="48" width="14.6640625" style="161" customWidth="1"/>
    <col min="49" max="49" width="2.1640625" style="161" customWidth="1"/>
    <col min="50" max="50" width="10.33203125" style="161" bestFit="1" customWidth="1"/>
    <col min="51" max="51" width="16.83203125" style="161" customWidth="1"/>
    <col min="52" max="52" width="11.33203125" style="161" customWidth="1"/>
    <col min="53" max="53" width="2.33203125" style="161" customWidth="1"/>
    <col min="54" max="54" width="8.5" style="161" bestFit="1" customWidth="1"/>
    <col min="55" max="55" width="19.1640625" style="161" bestFit="1" customWidth="1"/>
    <col min="56" max="56" width="2.5" style="161" bestFit="1" customWidth="1"/>
    <col min="57" max="57" width="26.83203125" style="161" bestFit="1" customWidth="1"/>
    <col min="58" max="58" width="2.33203125" style="161" bestFit="1" customWidth="1"/>
    <col min="59" max="59" width="2" style="161" bestFit="1" customWidth="1"/>
    <col min="60" max="60" width="10.83203125" style="161"/>
    <col min="61" max="61" width="2.33203125" style="161" bestFit="1" customWidth="1"/>
    <col min="62" max="62" width="10.83203125" style="161"/>
    <col min="63" max="63" width="2" style="161" bestFit="1" customWidth="1"/>
    <col min="64" max="64" width="8.5" style="161" bestFit="1" customWidth="1"/>
    <col min="65" max="16384" width="10.83203125" style="161"/>
  </cols>
  <sheetData>
    <row r="1" spans="2:64" ht="14" thickBot="1" x14ac:dyDescent="0.2"/>
    <row r="2" spans="2:64" ht="20" customHeight="1" thickTop="1" x14ac:dyDescent="0.2">
      <c r="C2" s="626" t="s">
        <v>595</v>
      </c>
      <c r="E2" s="161" t="s">
        <v>2</v>
      </c>
      <c r="F2" s="161" t="s">
        <v>2</v>
      </c>
      <c r="AL2" s="161" t="s">
        <v>2</v>
      </c>
      <c r="AS2" s="1451" t="s">
        <v>524</v>
      </c>
      <c r="AT2" s="1452"/>
      <c r="BB2" s="1388" t="s">
        <v>42</v>
      </c>
      <c r="BC2" s="366"/>
      <c r="BD2" s="366"/>
      <c r="BE2" s="366"/>
      <c r="BF2" s="366"/>
      <c r="BG2" s="366"/>
      <c r="BH2" s="366"/>
      <c r="BI2" s="366"/>
      <c r="BJ2" s="366"/>
      <c r="BK2" s="366"/>
      <c r="BL2" s="1391" t="s">
        <v>43</v>
      </c>
    </row>
    <row r="3" spans="2:64" ht="20" customHeight="1" x14ac:dyDescent="0.2">
      <c r="C3" s="627" t="s">
        <v>522</v>
      </c>
      <c r="E3" s="161" t="s">
        <v>2</v>
      </c>
      <c r="AL3" s="161" t="s">
        <v>2</v>
      </c>
      <c r="AS3" s="1453"/>
      <c r="AT3" s="1454"/>
      <c r="BB3" s="1389"/>
      <c r="BC3" s="367"/>
      <c r="BD3" s="367"/>
      <c r="BE3" s="367"/>
      <c r="BF3" s="367"/>
      <c r="BG3" s="367"/>
      <c r="BH3" s="367"/>
      <c r="BI3" s="367"/>
      <c r="BJ3" s="367"/>
      <c r="BK3" s="367"/>
      <c r="BL3" s="1392"/>
    </row>
    <row r="4" spans="2:64" ht="20" customHeight="1" thickBot="1" x14ac:dyDescent="0.3">
      <c r="C4" s="628" t="s">
        <v>523</v>
      </c>
      <c r="AS4" s="1455"/>
      <c r="AT4" s="1456"/>
      <c r="BB4" s="1389"/>
      <c r="BC4" s="368" t="str">
        <f>'Formule pour le calcul D'!BM103</f>
        <v>Bénéfice annuel</v>
      </c>
      <c r="BD4" s="368" t="s">
        <v>44</v>
      </c>
      <c r="BE4" s="368" t="str">
        <f>'Formule pour le calcul D'!BO103</f>
        <v>Achalandage annuelle</v>
      </c>
      <c r="BF4" s="368" t="s">
        <v>45</v>
      </c>
      <c r="BG4" s="368" t="s">
        <v>46</v>
      </c>
      <c r="BH4" s="368" t="str">
        <f>'Formule pour le calcul D'!BR103</f>
        <v>Um/A</v>
      </c>
      <c r="BI4" s="368" t="s">
        <v>45</v>
      </c>
      <c r="BJ4" s="368" t="str">
        <f>'Formule pour le calcul D'!BT103</f>
        <v>BmO</v>
      </c>
      <c r="BK4" s="368" t="s">
        <v>49</v>
      </c>
      <c r="BL4" s="1392"/>
    </row>
    <row r="5" spans="2:64" ht="21" thickTop="1" thickBot="1" x14ac:dyDescent="0.3">
      <c r="C5" s="166"/>
      <c r="G5" s="161" t="s">
        <v>2</v>
      </c>
      <c r="BB5" s="1389"/>
      <c r="BC5" s="369" t="s">
        <v>2</v>
      </c>
      <c r="BD5" s="370"/>
      <c r="BE5" s="369"/>
      <c r="BF5" s="370"/>
      <c r="BG5" s="370"/>
      <c r="BH5" s="370"/>
      <c r="BI5" s="370"/>
      <c r="BJ5" s="370"/>
      <c r="BK5" s="370"/>
      <c r="BL5" s="1392"/>
    </row>
    <row r="6" spans="2:64" ht="27" thickTop="1" x14ac:dyDescent="0.3">
      <c r="C6" s="167" t="s">
        <v>134</v>
      </c>
      <c r="D6" s="161" t="s">
        <v>2</v>
      </c>
      <c r="E6" s="554" t="s">
        <v>135</v>
      </c>
      <c r="F6" s="169">
        <f>E14/$C$7/'Calendrier 2021'!D8</f>
        <v>78.480286738351268</v>
      </c>
      <c r="G6" s="170" t="s">
        <v>2</v>
      </c>
      <c r="H6" s="554" t="str">
        <f>E6</f>
        <v>Rev. / place / jour</v>
      </c>
      <c r="I6" s="169">
        <f>H14/$C$7/'Calendrier 2021'!E8</f>
        <v>84.219246031746039</v>
      </c>
      <c r="J6" s="170"/>
      <c r="K6" s="554" t="str">
        <f>H6</f>
        <v>Rev. / place / jour</v>
      </c>
      <c r="L6" s="169">
        <f>K14/$C$7/'Calendrier 2021'!F8</f>
        <v>84.766129032258064</v>
      </c>
      <c r="M6" s="170"/>
      <c r="N6" s="168" t="str">
        <f>K6</f>
        <v>Rev. / place / jour</v>
      </c>
      <c r="O6" s="169">
        <f>N14/$C$7/'Calendrier 2021'!G8</f>
        <v>91.931130555555555</v>
      </c>
      <c r="P6" s="171"/>
      <c r="Q6" s="554" t="str">
        <f>N6</f>
        <v>Rev. / place / jour</v>
      </c>
      <c r="R6" s="169">
        <f>Q14/$C$7/'Calendrier 2021'!H8</f>
        <v>95.786093189964149</v>
      </c>
      <c r="S6" s="170"/>
      <c r="T6" s="554" t="str">
        <f>Q6</f>
        <v>Rev. / place / jour</v>
      </c>
      <c r="U6" s="169">
        <f>T14/$C$7/'Calendrier 2021'!I8</f>
        <v>101.71855925925927</v>
      </c>
      <c r="V6" s="170" t="s">
        <v>2</v>
      </c>
      <c r="W6" s="554" t="str">
        <f>T6</f>
        <v>Rev. / place / jour</v>
      </c>
      <c r="X6" s="169">
        <f>W14/$C$7/'Calendrier 2021'!J8</f>
        <v>105.73306989247314</v>
      </c>
      <c r="Y6" s="170"/>
      <c r="Z6" s="554" t="str">
        <f>W6</f>
        <v>Rev. / place / jour</v>
      </c>
      <c r="AA6" s="169">
        <f>Z14/$C$7/'Calendrier 2021'!K8</f>
        <v>107.12866666666666</v>
      </c>
      <c r="AB6" s="170"/>
      <c r="AC6" s="554" t="str">
        <f>Z6</f>
        <v>Rev. / place / jour</v>
      </c>
      <c r="AD6" s="169">
        <f>AC14/$C$7/'Calendrier 2021'!L8</f>
        <v>101.22285555555555</v>
      </c>
      <c r="AE6" s="170"/>
      <c r="AF6" s="554" t="str">
        <f>AC6</f>
        <v>Rev. / place / jour</v>
      </c>
      <c r="AG6" s="169">
        <f>AF14/$C$7/'Calendrier 2021'!M8</f>
        <v>101.46089426523299</v>
      </c>
      <c r="AH6" s="170"/>
      <c r="AI6" s="554" t="str">
        <f>AF6</f>
        <v>Rev. / place / jour</v>
      </c>
      <c r="AJ6" s="169">
        <f>AI14/$C$7/'Calendrier 2021'!N8</f>
        <v>97.452279629629629</v>
      </c>
      <c r="AK6" s="170"/>
      <c r="AL6" s="554" t="str">
        <f>AI6</f>
        <v>Rev. / place / jour</v>
      </c>
      <c r="AM6" s="169">
        <f>AL14/$C$7/'Calendrier 2021'!O8</f>
        <v>104.8077741935484</v>
      </c>
      <c r="AN6" s="170"/>
      <c r="AO6" s="170"/>
      <c r="AP6" s="554" t="str">
        <f>AL6</f>
        <v>Rev. / place / jour</v>
      </c>
      <c r="AQ6" s="169">
        <f>+AP14/C7/'% Occupation'!P9</f>
        <v>96.303928691019777</v>
      </c>
      <c r="AR6" s="170"/>
      <c r="AS6" s="575" t="str">
        <f>+AP6</f>
        <v>Rev. / place / jour</v>
      </c>
      <c r="AT6" s="172">
        <f>AS14/C7/'% Occupation'!P8</f>
        <v>90.705199086758</v>
      </c>
      <c r="AU6" s="170"/>
      <c r="AV6" s="170"/>
      <c r="AW6" s="170"/>
      <c r="AY6" s="1449" t="s">
        <v>549</v>
      </c>
      <c r="AZ6" s="1449"/>
      <c r="BB6" s="1389"/>
      <c r="BC6" s="629" t="str">
        <f>'Formule pour le calcul D'!BM105</f>
        <v xml:space="preserve">B </v>
      </c>
      <c r="BD6" s="372"/>
      <c r="BE6" s="371" t="str">
        <f>'Formule pour le calcul D'!BO105</f>
        <v>A</v>
      </c>
      <c r="BF6" s="372"/>
      <c r="BG6" s="372"/>
      <c r="BH6" s="371" t="str">
        <f>BH4</f>
        <v>Um/A</v>
      </c>
      <c r="BI6" s="372"/>
      <c r="BJ6" s="371" t="str">
        <f>BJ4</f>
        <v>BmO</v>
      </c>
      <c r="BK6" s="372"/>
      <c r="BL6" s="1392"/>
    </row>
    <row r="7" spans="2:64" ht="21" x14ac:dyDescent="0.25">
      <c r="C7" s="295">
        <f>'Calendrier 2021'!D7</f>
        <v>30</v>
      </c>
      <c r="D7" s="161" t="s">
        <v>2</v>
      </c>
      <c r="E7" s="294">
        <f>E14/$AP$14</f>
        <v>6.9212638583414671E-2</v>
      </c>
      <c r="F7" s="177"/>
      <c r="G7" s="175" t="s">
        <v>2</v>
      </c>
      <c r="H7" s="294">
        <f>H14/$AP$14</f>
        <v>6.7086094803409546E-2</v>
      </c>
      <c r="I7" s="177"/>
      <c r="J7" s="175"/>
      <c r="K7" s="294">
        <f>K14/$AP$14</f>
        <v>7.4756192881718628E-2</v>
      </c>
      <c r="L7" s="177"/>
      <c r="M7" s="175"/>
      <c r="N7" s="173">
        <f>N14/$AP$14</f>
        <v>7.8459762088998963E-2</v>
      </c>
      <c r="O7" s="174"/>
      <c r="P7" s="176"/>
      <c r="Q7" s="294">
        <f>Q14/$AP$14</f>
        <v>8.4474821955951782E-2</v>
      </c>
      <c r="R7" s="177"/>
      <c r="S7" s="175"/>
      <c r="T7" s="294">
        <f>T14/$AP$14</f>
        <v>8.6812964349375452E-2</v>
      </c>
      <c r="U7" s="177"/>
      <c r="V7" s="175"/>
      <c r="W7" s="294">
        <f>W14/$AP$14</f>
        <v>9.3247171448043648E-2</v>
      </c>
      <c r="X7" s="177"/>
      <c r="Y7" s="175"/>
      <c r="Z7" s="294">
        <f>Z14/$AP$14</f>
        <v>9.4477963780167401E-2</v>
      </c>
      <c r="AA7" s="177"/>
      <c r="AB7" s="175"/>
      <c r="AC7" s="294">
        <f>AC14/$AP$14</f>
        <v>8.6389899883354077E-2</v>
      </c>
      <c r="AD7" s="177"/>
      <c r="AE7" s="175"/>
      <c r="AF7" s="294">
        <f>AF14/$AP$14</f>
        <v>8.9479492200911781E-2</v>
      </c>
      <c r="AG7" s="177"/>
      <c r="AH7" s="175"/>
      <c r="AI7" s="294">
        <f>AI14/$AP$14</f>
        <v>8.3171855154665839E-2</v>
      </c>
      <c r="AJ7" s="177"/>
      <c r="AK7" s="175"/>
      <c r="AL7" s="294">
        <f>AL14/$AP$14</f>
        <v>9.2431142869988395E-2</v>
      </c>
      <c r="AM7" s="560"/>
      <c r="AN7" s="170"/>
      <c r="AO7" s="170"/>
      <c r="AP7" s="294">
        <f>+E7+H7+K7+N7+Q7+T7+W7+Z7+AC7+AF7+AI7+AL7</f>
        <v>1.0000000000000002</v>
      </c>
      <c r="AQ7" s="570" t="s">
        <v>136</v>
      </c>
      <c r="AR7" s="170"/>
      <c r="AS7" s="179">
        <f>AP7</f>
        <v>1.0000000000000002</v>
      </c>
      <c r="AT7" s="576" t="str">
        <f>+AQ7</f>
        <v>365 jours</v>
      </c>
      <c r="AU7" s="170"/>
      <c r="AV7" s="170"/>
      <c r="AW7" s="170"/>
      <c r="AY7" s="1449"/>
      <c r="AZ7" s="1449"/>
      <c r="BB7" s="1389"/>
      <c r="BC7" s="630">
        <f>AP45</f>
        <v>70253.414537618257</v>
      </c>
      <c r="BD7" s="368" t="s">
        <v>44</v>
      </c>
      <c r="BE7" s="631">
        <f>'Formule pour le calcul D'!G106</f>
        <v>52000</v>
      </c>
      <c r="BF7" s="368" t="s">
        <v>45</v>
      </c>
      <c r="BG7" s="368" t="s">
        <v>46</v>
      </c>
      <c r="BH7" s="632">
        <f>'Formule pour le calcul D'!J106</f>
        <v>3.1499999999999995</v>
      </c>
      <c r="BI7" s="368" t="s">
        <v>45</v>
      </c>
      <c r="BJ7" s="633">
        <f>BC7/BE7/BH7</f>
        <v>0.42889752464968417</v>
      </c>
      <c r="BK7" s="368" t="s">
        <v>49</v>
      </c>
      <c r="BL7" s="1392"/>
    </row>
    <row r="8" spans="2:64" ht="17" thickBot="1" x14ac:dyDescent="0.25">
      <c r="C8" s="180" t="s">
        <v>137</v>
      </c>
      <c r="D8" s="161" t="s">
        <v>2</v>
      </c>
      <c r="E8" s="567" t="str">
        <f>'Calendrier 2021'!D5</f>
        <v>Pér.01</v>
      </c>
      <c r="F8" s="568" t="s">
        <v>138</v>
      </c>
      <c r="G8" s="182" t="s">
        <v>2</v>
      </c>
      <c r="H8" s="567" t="str">
        <f>'Calendrier 2021'!E5</f>
        <v>Pér.02</v>
      </c>
      <c r="I8" s="569" t="str">
        <f>+F8</f>
        <v>(%)</v>
      </c>
      <c r="J8" s="182"/>
      <c r="K8" s="567" t="str">
        <f>'Calendrier 2021'!F5</f>
        <v>Pér.03</v>
      </c>
      <c r="L8" s="569" t="str">
        <f>+I8</f>
        <v>(%)</v>
      </c>
      <c r="M8" s="182"/>
      <c r="N8" s="181" t="str">
        <f>'Calendrier 2021'!G5</f>
        <v>Pér.04</v>
      </c>
      <c r="O8" s="183" t="str">
        <f>+L8</f>
        <v>(%)</v>
      </c>
      <c r="P8" s="184"/>
      <c r="Q8" s="567" t="str">
        <f>'Calendrier 2021'!H5</f>
        <v>Pér.05</v>
      </c>
      <c r="R8" s="569" t="str">
        <f>+O8</f>
        <v>(%)</v>
      </c>
      <c r="S8" s="182"/>
      <c r="T8" s="567" t="str">
        <f>'Calendrier 2021'!I5</f>
        <v>Pér.06</v>
      </c>
      <c r="U8" s="569" t="str">
        <f>+R8</f>
        <v>(%)</v>
      </c>
      <c r="V8" s="182"/>
      <c r="W8" s="567" t="str">
        <f>'Calendrier 2021'!J5</f>
        <v>Pér.07</v>
      </c>
      <c r="X8" s="569" t="str">
        <f>+U8</f>
        <v>(%)</v>
      </c>
      <c r="Y8" s="182"/>
      <c r="Z8" s="567" t="str">
        <f>'Calendrier 2021'!K5</f>
        <v>Pér.08</v>
      </c>
      <c r="AA8" s="569" t="str">
        <f>+X8</f>
        <v>(%)</v>
      </c>
      <c r="AB8" s="182"/>
      <c r="AC8" s="567" t="str">
        <f>'Calendrier 2021'!L5</f>
        <v>Pér.09</v>
      </c>
      <c r="AD8" s="569" t="str">
        <f>+AA8</f>
        <v>(%)</v>
      </c>
      <c r="AE8" s="182"/>
      <c r="AF8" s="567" t="str">
        <f>'Calendrier 2021'!M5</f>
        <v>Pér.10</v>
      </c>
      <c r="AG8" s="569" t="str">
        <f>+AD8</f>
        <v>(%)</v>
      </c>
      <c r="AH8" s="182"/>
      <c r="AI8" s="567" t="str">
        <f>'Calendrier 2021'!N5</f>
        <v>Pér.11</v>
      </c>
      <c r="AJ8" s="569" t="str">
        <f>+AG8</f>
        <v>(%)</v>
      </c>
      <c r="AK8" s="182"/>
      <c r="AL8" s="567" t="str">
        <f>'Calendrier 2021'!O5</f>
        <v>Pér.12</v>
      </c>
      <c r="AM8" s="569" t="str">
        <f>+AJ8</f>
        <v>(%)</v>
      </c>
      <c r="AN8" s="182"/>
      <c r="AO8" s="182"/>
      <c r="AP8" s="571" t="s">
        <v>10</v>
      </c>
      <c r="AQ8" s="572" t="str">
        <f>+AM8</f>
        <v>(%)</v>
      </c>
      <c r="AS8" s="179" t="str">
        <f>+AP8</f>
        <v>Total</v>
      </c>
      <c r="AT8" s="185" t="str">
        <f>+AQ8</f>
        <v>(%)</v>
      </c>
      <c r="AY8" s="1449"/>
      <c r="AZ8" s="1449"/>
      <c r="BB8" s="1390"/>
      <c r="BC8" s="373"/>
      <c r="BD8" s="373"/>
      <c r="BE8" s="373"/>
      <c r="BF8" s="373"/>
      <c r="BG8" s="373"/>
      <c r="BH8" s="373"/>
      <c r="BI8" s="373"/>
      <c r="BJ8" s="373"/>
      <c r="BK8" s="373"/>
      <c r="BL8" s="1393"/>
    </row>
    <row r="9" spans="2:64" ht="15" thickTop="1" thickBot="1" x14ac:dyDescent="0.2">
      <c r="C9" s="186">
        <f>+AP14/C7</f>
        <v>35150.933972222221</v>
      </c>
      <c r="D9" s="161" t="s">
        <v>2</v>
      </c>
      <c r="E9" s="557" t="str">
        <f>'Calendrier 2021'!D6</f>
        <v>Janvier 2021</v>
      </c>
      <c r="F9" s="558" t="s">
        <v>2</v>
      </c>
      <c r="G9" s="291" t="s">
        <v>2</v>
      </c>
      <c r="H9" s="557" t="str">
        <f>'Calendrier 2021'!E6</f>
        <v>Février 2021</v>
      </c>
      <c r="I9" s="558" t="str">
        <f>+F9</f>
        <v xml:space="preserve"> </v>
      </c>
      <c r="J9" s="292"/>
      <c r="K9" s="557" t="str">
        <f>'Calendrier 2021'!F6</f>
        <v>Mars 2021</v>
      </c>
      <c r="L9" s="558" t="str">
        <f>+I9</f>
        <v xml:space="preserve"> </v>
      </c>
      <c r="M9" s="291"/>
      <c r="N9" s="289" t="str">
        <f>'Calendrier 2021'!G6</f>
        <v>Avril 2021</v>
      </c>
      <c r="O9" s="290" t="str">
        <f>+L9</f>
        <v xml:space="preserve"> </v>
      </c>
      <c r="P9" s="293"/>
      <c r="Q9" s="557" t="str">
        <f>'Calendrier 2021'!H6</f>
        <v>Mai 2021</v>
      </c>
      <c r="R9" s="558" t="str">
        <f>+O9</f>
        <v xml:space="preserve"> </v>
      </c>
      <c r="S9" s="291"/>
      <c r="T9" s="557" t="str">
        <f>'Calendrier 2021'!I6</f>
        <v>Juin 2021</v>
      </c>
      <c r="U9" s="558" t="str">
        <f>+R9</f>
        <v xml:space="preserve"> </v>
      </c>
      <c r="V9" s="291"/>
      <c r="W9" s="557" t="str">
        <f>'Calendrier 2021'!J6</f>
        <v>Juillet 2021</v>
      </c>
      <c r="X9" s="558" t="str">
        <f>+U9</f>
        <v xml:space="preserve"> </v>
      </c>
      <c r="Y9" s="291"/>
      <c r="Z9" s="557" t="str">
        <f>'Calendrier 2021'!K6</f>
        <v>Août 2021</v>
      </c>
      <c r="AA9" s="558" t="str">
        <f>+X9</f>
        <v xml:space="preserve"> </v>
      </c>
      <c r="AB9" s="291"/>
      <c r="AC9" s="557" t="str">
        <f>'Calendrier 2021'!L6</f>
        <v>Septembre 2021</v>
      </c>
      <c r="AD9" s="558" t="str">
        <f>+AA9</f>
        <v xml:space="preserve"> </v>
      </c>
      <c r="AE9" s="291"/>
      <c r="AF9" s="557" t="str">
        <f>'Calendrier 2021'!M6</f>
        <v>Octobre 2021</v>
      </c>
      <c r="AG9" s="558" t="str">
        <f>+AD9</f>
        <v xml:space="preserve"> </v>
      </c>
      <c r="AH9" s="291"/>
      <c r="AI9" s="557" t="str">
        <f>'Calendrier 2021'!N6</f>
        <v>Novembre 2021</v>
      </c>
      <c r="AJ9" s="558" t="str">
        <f>+AG9</f>
        <v xml:space="preserve"> </v>
      </c>
      <c r="AK9" s="291"/>
      <c r="AL9" s="557" t="str">
        <f>'Calendrier 2021'!O6</f>
        <v>Décembre 2021</v>
      </c>
      <c r="AM9" s="558" t="str">
        <f>+AJ9</f>
        <v xml:space="preserve"> </v>
      </c>
      <c r="AN9" s="187"/>
      <c r="AO9" s="187"/>
      <c r="AP9" s="573" t="s">
        <v>30</v>
      </c>
      <c r="AQ9" s="574" t="str">
        <f>+AM9</f>
        <v xml:space="preserve"> </v>
      </c>
      <c r="AS9" s="188" t="str">
        <f>+AP9</f>
        <v>Année</v>
      </c>
      <c r="AT9" s="577" t="s">
        <v>2</v>
      </c>
      <c r="AY9" s="1450"/>
      <c r="AZ9" s="1450"/>
    </row>
    <row r="10" spans="2:64" ht="17" thickTop="1" x14ac:dyDescent="0.2">
      <c r="C10" s="189" t="s">
        <v>139</v>
      </c>
      <c r="D10" s="161" t="s">
        <v>2</v>
      </c>
      <c r="E10" s="190"/>
      <c r="F10" s="191"/>
      <c r="G10" s="161" t="s">
        <v>2</v>
      </c>
      <c r="H10" s="190"/>
      <c r="I10" s="191"/>
      <c r="K10" s="190"/>
      <c r="L10" s="191"/>
      <c r="N10" s="190"/>
      <c r="O10" s="191"/>
      <c r="P10" s="192"/>
      <c r="Q10" s="190"/>
      <c r="R10" s="191"/>
      <c r="T10" s="190"/>
      <c r="U10" s="191"/>
      <c r="W10" s="190"/>
      <c r="X10" s="191"/>
      <c r="Z10" s="190"/>
      <c r="AA10" s="191"/>
      <c r="AC10" s="190"/>
      <c r="AD10" s="191"/>
      <c r="AF10" s="190"/>
      <c r="AG10" s="191"/>
      <c r="AI10" s="190"/>
      <c r="AJ10" s="191"/>
      <c r="AL10" s="190"/>
      <c r="AM10" s="191"/>
      <c r="AP10" s="193"/>
      <c r="AQ10" s="194"/>
      <c r="AS10" s="195"/>
      <c r="AT10" s="196"/>
      <c r="AX10" s="197" t="s">
        <v>140</v>
      </c>
      <c r="AY10" s="198">
        <v>349216</v>
      </c>
      <c r="AZ10" s="199">
        <f>+AY10/AY22</f>
        <v>7.1652570715713196E-2</v>
      </c>
    </row>
    <row r="11" spans="2:64" ht="16" x14ac:dyDescent="0.2">
      <c r="C11" s="200" t="s">
        <v>174</v>
      </c>
      <c r="E11" s="201">
        <f>E14*$AQ$11</f>
        <v>36015.132571917355</v>
      </c>
      <c r="F11" s="286">
        <f>+E11/E14</f>
        <v>0.49344810794552457</v>
      </c>
      <c r="G11" s="202" t="s">
        <v>2</v>
      </c>
      <c r="H11" s="201">
        <f>H14*$AQ$11</f>
        <v>34908.575189849515</v>
      </c>
      <c r="I11" s="286">
        <f>+H11/H14</f>
        <v>0.49344810794552452</v>
      </c>
      <c r="K11" s="201">
        <f>K14*$AQ$11</f>
        <v>38899.747969615564</v>
      </c>
      <c r="L11" s="286">
        <f>+K11/K14</f>
        <v>0.49344810794552457</v>
      </c>
      <c r="N11" s="201">
        <f>N14*$AQ$11</f>
        <v>40826.918190538694</v>
      </c>
      <c r="O11" s="286">
        <f>+N11/N14</f>
        <v>0.49344810794552446</v>
      </c>
      <c r="P11" s="192"/>
      <c r="Q11" s="201">
        <f>Q14*$AQ$11</f>
        <v>43956.883800435797</v>
      </c>
      <c r="R11" s="286">
        <f>+Q11/Q14</f>
        <v>0.49344810794552452</v>
      </c>
      <c r="T11" s="201">
        <f>T14*$AQ$11</f>
        <v>45173.547548483577</v>
      </c>
      <c r="U11" s="286">
        <f>+T11/T14</f>
        <v>0.49344810794552452</v>
      </c>
      <c r="W11" s="201">
        <f>W14*$AQ$11</f>
        <v>48521.61845571288</v>
      </c>
      <c r="X11" s="286">
        <f>+W11/W14</f>
        <v>0.49344810794552452</v>
      </c>
      <c r="Z11" s="201">
        <f>Z14*$AQ$11</f>
        <v>49162.067222255908</v>
      </c>
      <c r="AA11" s="286">
        <f>+Z11/Z14</f>
        <v>0.49344810794552452</v>
      </c>
      <c r="AC11" s="201">
        <f>AC14*$AQ$11</f>
        <v>44953.403899258818</v>
      </c>
      <c r="AD11" s="286">
        <f>+AC11/AC14</f>
        <v>0.49344810794552452</v>
      </c>
      <c r="AF11" s="201">
        <f>AF14*$AQ$11</f>
        <v>46561.088264245329</v>
      </c>
      <c r="AG11" s="286">
        <f>+AF11/AF14</f>
        <v>0.49344810794552452</v>
      </c>
      <c r="AI11" s="201">
        <f>AI14*$AQ$11</f>
        <v>43278.878698397028</v>
      </c>
      <c r="AJ11" s="286">
        <f>+AI11/AI14</f>
        <v>0.49344810794552452</v>
      </c>
      <c r="AK11" s="161" t="s">
        <v>141</v>
      </c>
      <c r="AL11" s="201">
        <f>AL14*$AQ$11</f>
        <v>48096.994022623054</v>
      </c>
      <c r="AM11" s="286">
        <f>+AL11/AL14</f>
        <v>0.49344810794552452</v>
      </c>
      <c r="AP11" s="203">
        <f>'Formule pour le calcul D'!Q114</f>
        <v>520354.85583333339</v>
      </c>
      <c r="AQ11" s="194">
        <f>+AP11/AP14</f>
        <v>0.49344810794552452</v>
      </c>
      <c r="AS11" s="204">
        <f>+AT11*AV14</f>
        <v>595933.15800000005</v>
      </c>
      <c r="AT11" s="634">
        <v>0.6</v>
      </c>
      <c r="AW11" s="161" t="s">
        <v>2</v>
      </c>
      <c r="AX11" s="197" t="s">
        <v>142</v>
      </c>
      <c r="AY11" s="206">
        <v>336093</v>
      </c>
      <c r="AZ11" s="207">
        <f>+AY11/AY22</f>
        <v>6.8959977347991475E-2</v>
      </c>
    </row>
    <row r="12" spans="2:64" ht="16" x14ac:dyDescent="0.2">
      <c r="C12" s="200" t="s">
        <v>175</v>
      </c>
      <c r="E12" s="201">
        <f>+E14*$AQ$12</f>
        <v>36971.534094749346</v>
      </c>
      <c r="F12" s="286">
        <f>+E12/E14</f>
        <v>0.50655189205447582</v>
      </c>
      <c r="H12" s="201">
        <f>+H14*$AQ$12</f>
        <v>35835.591476817179</v>
      </c>
      <c r="I12" s="286">
        <f>+H12/H14</f>
        <v>0.50655189205447582</v>
      </c>
      <c r="K12" s="201">
        <f>+K14*$AQ$12</f>
        <v>39932.752030384465</v>
      </c>
      <c r="L12" s="286">
        <f>+K12/K14</f>
        <v>0.50655189205447582</v>
      </c>
      <c r="N12" s="201">
        <f>+N14*$AQ$12</f>
        <v>41911.09930946133</v>
      </c>
      <c r="O12" s="286">
        <f>+N12/N14</f>
        <v>0.50655189205447582</v>
      </c>
      <c r="P12" s="192"/>
      <c r="Q12" s="201">
        <f>+Q14*$AQ$12</f>
        <v>45124.182866230898</v>
      </c>
      <c r="R12" s="286">
        <f>+Q12/Q14</f>
        <v>0.50655189205447582</v>
      </c>
      <c r="T12" s="201">
        <f>+T14*$AQ$12</f>
        <v>46373.155784849791</v>
      </c>
      <c r="U12" s="286">
        <f>+T12/T14</f>
        <v>0.50655189205447582</v>
      </c>
      <c r="W12" s="201">
        <f>+W14*$AQ$12</f>
        <v>49810.136544287176</v>
      </c>
      <c r="X12" s="286">
        <f>+W12/W14</f>
        <v>0.50655189205447582</v>
      </c>
      <c r="Z12" s="201">
        <f>+Z14*$AQ$12</f>
        <v>50467.592777744132</v>
      </c>
      <c r="AA12" s="286">
        <f>+Z12/Z14</f>
        <v>0.50655189205447582</v>
      </c>
      <c r="AC12" s="201">
        <f>+AC14*$AQ$12</f>
        <v>46147.166100741219</v>
      </c>
      <c r="AD12" s="286">
        <f>+AC12/AC14</f>
        <v>0.50655189205447582</v>
      </c>
      <c r="AF12" s="201">
        <f>+AF14*$AQ$12</f>
        <v>47797.543402421383</v>
      </c>
      <c r="AG12" s="286">
        <f>+AF12/AF14</f>
        <v>0.50655189205447582</v>
      </c>
      <c r="AI12" s="201">
        <f>+AI14*$AQ$12</f>
        <v>44428.172968269668</v>
      </c>
      <c r="AJ12" s="286">
        <f>+AI12/AI14</f>
        <v>0.50655189205447582</v>
      </c>
      <c r="AL12" s="201">
        <f>+AL14*$AQ$12</f>
        <v>49374.235977376993</v>
      </c>
      <c r="AM12" s="286">
        <f>+AL12/AL14</f>
        <v>0.50655189205447582</v>
      </c>
      <c r="AP12" s="203">
        <f>'Formule pour le calcul D'!AC114</f>
        <v>534173.16333333345</v>
      </c>
      <c r="AQ12" s="194">
        <f>+AP12/AP14</f>
        <v>0.50655189205447582</v>
      </c>
      <c r="AS12" s="204">
        <f>+AT12*AV14</f>
        <v>397288.77200000006</v>
      </c>
      <c r="AT12" s="634">
        <v>0.4</v>
      </c>
      <c r="AX12" s="197" t="s">
        <v>143</v>
      </c>
      <c r="AY12" s="206">
        <v>374791</v>
      </c>
      <c r="AZ12" s="207">
        <f>+AY12/AY22</f>
        <v>7.6900080841407217E-2</v>
      </c>
    </row>
    <row r="13" spans="2:64" ht="17" thickBot="1" x14ac:dyDescent="0.25">
      <c r="C13" s="200" t="s">
        <v>176</v>
      </c>
      <c r="E13" s="201">
        <f>+E14*$AQ$13</f>
        <v>0</v>
      </c>
      <c r="F13" s="286">
        <f>+E13/E14</f>
        <v>0</v>
      </c>
      <c r="H13" s="201">
        <f>+H14*$AQ$13</f>
        <v>0</v>
      </c>
      <c r="I13" s="286">
        <f>+H13/H14</f>
        <v>0</v>
      </c>
      <c r="K13" s="201">
        <f>+K14*$AQ$13</f>
        <v>0</v>
      </c>
      <c r="L13" s="286">
        <f>+K13/K14</f>
        <v>0</v>
      </c>
      <c r="N13" s="201">
        <f>+N14*$AQ$13</f>
        <v>0</v>
      </c>
      <c r="O13" s="286">
        <f>+N13/N14</f>
        <v>0</v>
      </c>
      <c r="P13" s="192"/>
      <c r="Q13" s="201">
        <f>+Q14*$AQ$13</f>
        <v>0</v>
      </c>
      <c r="R13" s="286">
        <f>+Q13/Q14</f>
        <v>0</v>
      </c>
      <c r="T13" s="201">
        <f>+T14*$AQ$13</f>
        <v>0</v>
      </c>
      <c r="U13" s="286">
        <f>+T13/T14</f>
        <v>0</v>
      </c>
      <c r="W13" s="201">
        <f>+W14*$AQ$13</f>
        <v>0</v>
      </c>
      <c r="X13" s="286">
        <f>+W13/W14</f>
        <v>0</v>
      </c>
      <c r="Z13" s="201">
        <f>+Z14*$AQ$13</f>
        <v>0</v>
      </c>
      <c r="AA13" s="286">
        <f>+Z13/Z14</f>
        <v>0</v>
      </c>
      <c r="AC13" s="201">
        <f>+AC14*$AQ$13</f>
        <v>0</v>
      </c>
      <c r="AD13" s="286">
        <f>+AC13/AC14</f>
        <v>0</v>
      </c>
      <c r="AF13" s="201">
        <f>+AF14*$AQ$13</f>
        <v>0</v>
      </c>
      <c r="AG13" s="286">
        <f>+AF13/AF14</f>
        <v>0</v>
      </c>
      <c r="AI13" s="201">
        <f>+AI14*$AQ$13</f>
        <v>0</v>
      </c>
      <c r="AJ13" s="286">
        <f>+AI13/AI14</f>
        <v>0</v>
      </c>
      <c r="AL13" s="201">
        <f>+AL14*$AQ$13</f>
        <v>0</v>
      </c>
      <c r="AM13" s="286">
        <f>+AL13/AL14</f>
        <v>0</v>
      </c>
      <c r="AP13" s="203">
        <f>'Formule pour le calcul D'!AO114</f>
        <v>0</v>
      </c>
      <c r="AQ13" s="194">
        <f>+AP13/AP14</f>
        <v>0</v>
      </c>
      <c r="AS13" s="204">
        <f>+AT13*AV14</f>
        <v>0</v>
      </c>
      <c r="AT13" s="634">
        <v>0</v>
      </c>
      <c r="AV13" s="209"/>
      <c r="AX13" s="197" t="s">
        <v>144</v>
      </c>
      <c r="AY13" s="206">
        <v>390264</v>
      </c>
      <c r="AZ13" s="207">
        <f>+AY13/AY22</f>
        <v>8.0074850115106677E-2</v>
      </c>
    </row>
    <row r="14" spans="2:64" ht="18" thickTop="1" thickBot="1" x14ac:dyDescent="0.25">
      <c r="C14" s="542" t="s">
        <v>145</v>
      </c>
      <c r="D14" s="210"/>
      <c r="E14" s="543">
        <f>'Formule pour le calcul D'!E10</f>
        <v>72986.666666666672</v>
      </c>
      <c r="F14" s="544">
        <f>SUM(F11:F13)</f>
        <v>1.0000000000000004</v>
      </c>
      <c r="G14" s="212"/>
      <c r="H14" s="543">
        <f>'Formule pour le calcul D'!E18</f>
        <v>70744.166666666672</v>
      </c>
      <c r="I14" s="544">
        <f>SUM(I11:I13)</f>
        <v>1.0000000000000004</v>
      </c>
      <c r="J14" s="210"/>
      <c r="K14" s="543">
        <f>'Formule pour le calcul D'!E26</f>
        <v>78832.5</v>
      </c>
      <c r="L14" s="544">
        <f>SUM(L11:L13)</f>
        <v>1.0000000000000004</v>
      </c>
      <c r="M14" s="210"/>
      <c r="N14" s="543">
        <f>'Formule pour le calcul D'!E34</f>
        <v>82738.017500000002</v>
      </c>
      <c r="O14" s="544">
        <f>SUM(O11:O13)</f>
        <v>1.0000000000000002</v>
      </c>
      <c r="P14" s="212"/>
      <c r="Q14" s="543">
        <f>'Formule pour le calcul D'!E42</f>
        <v>89081.066666666666</v>
      </c>
      <c r="R14" s="544">
        <f>SUM(R11:R13)</f>
        <v>1.0000000000000004</v>
      </c>
      <c r="S14" s="210"/>
      <c r="T14" s="543">
        <f>'Formule pour le calcul D'!E50</f>
        <v>91546.703333333338</v>
      </c>
      <c r="U14" s="544">
        <f>SUM(U11:U13)</f>
        <v>1.0000000000000004</v>
      </c>
      <c r="V14" s="213"/>
      <c r="W14" s="543">
        <f>'Formule pour le calcul D'!E58</f>
        <v>98331.755000000019</v>
      </c>
      <c r="X14" s="544">
        <f>SUM(X11:X13)</f>
        <v>1.0000000000000004</v>
      </c>
      <c r="Y14" s="213"/>
      <c r="Z14" s="543">
        <f>'Formule pour le calcul D'!E66</f>
        <v>99629.66</v>
      </c>
      <c r="AA14" s="544">
        <f>SUM(AA11:AA13)</f>
        <v>1.0000000000000004</v>
      </c>
      <c r="AB14" s="213"/>
      <c r="AC14" s="543">
        <f>'Formule pour le calcul D'!E74</f>
        <v>91100.57</v>
      </c>
      <c r="AD14" s="544">
        <f>SUM(AD11:AD13)</f>
        <v>1.0000000000000004</v>
      </c>
      <c r="AE14" s="213"/>
      <c r="AF14" s="543">
        <f>'Formule pour le calcul D'!E82</f>
        <v>94358.631666666683</v>
      </c>
      <c r="AG14" s="544">
        <f>SUM(AG11:AG13)</f>
        <v>1.0000000000000004</v>
      </c>
      <c r="AH14" s="213"/>
      <c r="AI14" s="543">
        <f>'Formule pour le calcul D'!E90</f>
        <v>87707.051666666666</v>
      </c>
      <c r="AJ14" s="544">
        <f>SUM(AJ11:AJ13)</f>
        <v>1.0000000000000004</v>
      </c>
      <c r="AK14" s="213"/>
      <c r="AL14" s="543">
        <f>'Formule pour le calcul D'!E98</f>
        <v>97471.23000000001</v>
      </c>
      <c r="AM14" s="544">
        <f>SUM(AM11:AM13)</f>
        <v>1.0000000000000004</v>
      </c>
      <c r="AN14" s="213"/>
      <c r="AO14" s="213"/>
      <c r="AP14" s="545">
        <f t="shared" ref="AP14" si="0">+$AL14+$AI14+$AF14+$AC14+$Z14+$W14+$T14+$Q14+$N14+$K14+$H14+$E14</f>
        <v>1054528.0191666665</v>
      </c>
      <c r="AQ14" s="544">
        <f>SUM(AQ11:AQ13)</f>
        <v>1.0000000000000004</v>
      </c>
      <c r="AR14" s="210"/>
      <c r="AS14" s="546">
        <f>SUM(AS11:AS13)</f>
        <v>993221.93000000017</v>
      </c>
      <c r="AT14" s="547">
        <f>SUM(AT11:AT13)</f>
        <v>1</v>
      </c>
      <c r="AU14" s="210"/>
      <c r="AV14" s="635">
        <v>993221.93</v>
      </c>
      <c r="AW14" s="210"/>
      <c r="AX14" s="197" t="s">
        <v>146</v>
      </c>
      <c r="AY14" s="206">
        <v>425568</v>
      </c>
      <c r="AZ14" s="207">
        <f>+AY14/AY22</f>
        <v>8.7318568491548579E-2</v>
      </c>
    </row>
    <row r="15" spans="2:64" ht="17" thickTop="1" x14ac:dyDescent="0.2">
      <c r="C15" s="200"/>
      <c r="E15" s="218"/>
      <c r="F15" s="191"/>
      <c r="H15" s="218"/>
      <c r="I15" s="191"/>
      <c r="K15" s="218"/>
      <c r="L15" s="191"/>
      <c r="N15" s="218"/>
      <c r="O15" s="191"/>
      <c r="P15" s="192"/>
      <c r="Q15" s="218"/>
      <c r="R15" s="191"/>
      <c r="T15" s="218"/>
      <c r="U15" s="191"/>
      <c r="W15" s="218"/>
      <c r="X15" s="191"/>
      <c r="Z15" s="218"/>
      <c r="AA15" s="191"/>
      <c r="AC15" s="218"/>
      <c r="AD15" s="191"/>
      <c r="AF15" s="218"/>
      <c r="AG15" s="191"/>
      <c r="AI15" s="218"/>
      <c r="AJ15" s="191"/>
      <c r="AL15" s="218"/>
      <c r="AM15" s="191"/>
      <c r="AP15" s="219"/>
      <c r="AQ15" s="194"/>
      <c r="AS15" s="220"/>
      <c r="AT15" s="221"/>
      <c r="AX15" s="197" t="s">
        <v>147</v>
      </c>
      <c r="AY15" s="206">
        <v>432153</v>
      </c>
      <c r="AZ15" s="207">
        <f>+AY15/AY22</f>
        <v>8.8669686934469222E-2</v>
      </c>
    </row>
    <row r="16" spans="2:64" ht="16" x14ac:dyDescent="0.2">
      <c r="B16" s="209"/>
      <c r="C16" s="222" t="s">
        <v>189</v>
      </c>
      <c r="D16" s="223"/>
      <c r="E16" s="224">
        <f>'Coût marchandises vendues'!D14</f>
        <v>22124.918754574093</v>
      </c>
      <c r="F16" s="225">
        <f>+E16/E14</f>
        <v>0.30313644621721902</v>
      </c>
      <c r="G16" s="226"/>
      <c r="H16" s="224">
        <f>'Coût marchandises vendues'!G14</f>
        <v>21445.135273931977</v>
      </c>
      <c r="I16" s="225">
        <f>H$16/H$14</f>
        <v>0.30313644621721897</v>
      </c>
      <c r="J16" s="226"/>
      <c r="K16" s="224">
        <f>'Coût marchandises vendues'!J14</f>
        <v>23897.003896418915</v>
      </c>
      <c r="L16" s="225">
        <f>K$16/K$14</f>
        <v>0.30313644621721897</v>
      </c>
      <c r="M16" s="226"/>
      <c r="N16" s="224">
        <f>'Coût marchandises vendues'!M14</f>
        <v>25080.908592008076</v>
      </c>
      <c r="O16" s="225">
        <f>N$16/N$14</f>
        <v>0.30313644621721902</v>
      </c>
      <c r="P16" s="226"/>
      <c r="Q16" s="224">
        <f>'Coût marchandises vendues'!P14</f>
        <v>27003.717974572501</v>
      </c>
      <c r="R16" s="225">
        <f>Q$16/Q$14</f>
        <v>0.30313644621721902</v>
      </c>
      <c r="S16" s="226"/>
      <c r="T16" s="224">
        <f>'Coût marchandises vendues'!S14</f>
        <v>27751.142311368705</v>
      </c>
      <c r="U16" s="225">
        <f>T$16/T$14</f>
        <v>0.30313644621721902</v>
      </c>
      <c r="V16" s="226"/>
      <c r="W16" s="224">
        <f>'Coût marchandises vendues'!V14</f>
        <v>29807.93876100226</v>
      </c>
      <c r="X16" s="225">
        <f>W$16/W$14</f>
        <v>0.30313644621721897</v>
      </c>
      <c r="Y16" s="226"/>
      <c r="Z16" s="224">
        <f>'Coût marchandises vendues'!Y14</f>
        <v>30201.381070229814</v>
      </c>
      <c r="AA16" s="225">
        <f>Z$16/Z$14</f>
        <v>0.30313644621721897</v>
      </c>
      <c r="AB16" s="226"/>
      <c r="AC16" s="224">
        <f>'Coût marchandises vendues'!AB14</f>
        <v>27615.903038162993</v>
      </c>
      <c r="AD16" s="225">
        <f>AC$16/AC$14</f>
        <v>0.30313644621721897</v>
      </c>
      <c r="AE16" s="226"/>
      <c r="AF16" s="224">
        <f>'Coût marchandises vendues'!AE14</f>
        <v>28603.540273352883</v>
      </c>
      <c r="AG16" s="225">
        <f>AF$16/AF$14</f>
        <v>0.30313644621721902</v>
      </c>
      <c r="AH16" s="226"/>
      <c r="AI16" s="224">
        <f>'Coût marchandises vendues'!AH14</f>
        <v>26587.203950423347</v>
      </c>
      <c r="AJ16" s="225">
        <f>AI$16/AI$14</f>
        <v>0.30313644621721897</v>
      </c>
      <c r="AK16" s="226"/>
      <c r="AL16" s="224">
        <f>'Coût marchandises vendues'!AK14</f>
        <v>29547.082270621187</v>
      </c>
      <c r="AM16" s="225">
        <f>AL$16/AL$14</f>
        <v>0.30313644621721902</v>
      </c>
      <c r="AN16" s="226"/>
      <c r="AO16" s="226"/>
      <c r="AP16" s="227">
        <f>+$AL16+$AI16+$AF16+$AC16+$Z16+$W16+$T16+$Q16+$N16+$K16+$H16+$E16</f>
        <v>319665.87616666674</v>
      </c>
      <c r="AQ16" s="228">
        <f>AP$16/AP$14</f>
        <v>0.30313644621721902</v>
      </c>
      <c r="AS16" s="229">
        <f>+AT16*AV14</f>
        <v>365505.67024000001</v>
      </c>
      <c r="AT16" s="636">
        <v>0.36799999999999999</v>
      </c>
      <c r="AV16" s="161" t="s">
        <v>2</v>
      </c>
      <c r="AX16" s="197" t="s">
        <v>148</v>
      </c>
      <c r="AY16" s="206">
        <v>450874</v>
      </c>
      <c r="AZ16" s="207">
        <f>+AY16/AY22</f>
        <v>9.2510884864600906E-2</v>
      </c>
    </row>
    <row r="17" spans="3:52" ht="16" x14ac:dyDescent="0.2">
      <c r="C17" s="200"/>
      <c r="E17" s="218"/>
      <c r="F17" s="191"/>
      <c r="H17" s="218"/>
      <c r="I17" s="191"/>
      <c r="K17" s="218"/>
      <c r="L17" s="191"/>
      <c r="N17" s="218"/>
      <c r="O17" s="191"/>
      <c r="P17" s="192"/>
      <c r="Q17" s="218"/>
      <c r="R17" s="191"/>
      <c r="T17" s="218"/>
      <c r="U17" s="191"/>
      <c r="W17" s="218"/>
      <c r="X17" s="191"/>
      <c r="Z17" s="218"/>
      <c r="AA17" s="191"/>
      <c r="AC17" s="218"/>
      <c r="AD17" s="191"/>
      <c r="AF17" s="218"/>
      <c r="AG17" s="191"/>
      <c r="AI17" s="218"/>
      <c r="AJ17" s="191"/>
      <c r="AL17" s="218"/>
      <c r="AM17" s="191"/>
      <c r="AP17" s="219"/>
      <c r="AQ17" s="194"/>
      <c r="AS17" s="220"/>
      <c r="AT17" s="221"/>
      <c r="AX17" s="197" t="s">
        <v>149</v>
      </c>
      <c r="AY17" s="206">
        <v>459144</v>
      </c>
      <c r="AZ17" s="207">
        <f>+AY17/AY22</f>
        <v>9.4207733691169415E-2</v>
      </c>
    </row>
    <row r="18" spans="3:52" ht="17" thickBot="1" x14ac:dyDescent="0.25">
      <c r="C18" s="231" t="s">
        <v>150</v>
      </c>
      <c r="E18" s="232" t="s">
        <v>2</v>
      </c>
      <c r="F18" s="191"/>
      <c r="H18" s="233"/>
      <c r="I18" s="191"/>
      <c r="K18" s="233"/>
      <c r="L18" s="191"/>
      <c r="N18" s="233"/>
      <c r="O18" s="191"/>
      <c r="Q18" s="233"/>
      <c r="R18" s="191"/>
      <c r="T18" s="233"/>
      <c r="U18" s="191"/>
      <c r="W18" s="233"/>
      <c r="X18" s="191"/>
      <c r="Z18" s="233"/>
      <c r="AA18" s="191"/>
      <c r="AC18" s="233"/>
      <c r="AD18" s="191"/>
      <c r="AF18" s="233"/>
      <c r="AG18" s="191"/>
      <c r="AI18" s="233"/>
      <c r="AJ18" s="191"/>
      <c r="AL18" s="233"/>
      <c r="AM18" s="191"/>
      <c r="AP18" s="219"/>
      <c r="AQ18" s="194"/>
      <c r="AS18" s="220"/>
      <c r="AT18" s="221"/>
      <c r="AX18" s="197" t="s">
        <v>151</v>
      </c>
      <c r="AY18" s="206">
        <v>428433</v>
      </c>
      <c r="AZ18" s="207">
        <f>+AY18/AY22</f>
        <v>8.7906412734368264E-2</v>
      </c>
    </row>
    <row r="19" spans="3:52" ht="18" thickTop="1" thickBot="1" x14ac:dyDescent="0.25">
      <c r="C19" s="200" t="s">
        <v>187</v>
      </c>
      <c r="E19" s="234">
        <f>' Total des coûts de MO'!E23</f>
        <v>24896.000000000004</v>
      </c>
      <c r="F19" s="191">
        <f>E$19/E$14</f>
        <v>0.3411033978808915</v>
      </c>
      <c r="H19" s="234">
        <f>' Total des coûts de MO'!H23</f>
        <v>24223.25</v>
      </c>
      <c r="I19" s="191">
        <f>+H19/H14</f>
        <v>0.34240632325397852</v>
      </c>
      <c r="K19" s="234">
        <f>' Total des coûts de MO'!K23</f>
        <v>26649.75</v>
      </c>
      <c r="L19" s="191">
        <f>K$19/K$14</f>
        <v>0.33805537056417084</v>
      </c>
      <c r="N19" s="234">
        <f>' Total des coûts de MO'!N23</f>
        <v>27821.405250000003</v>
      </c>
      <c r="O19" s="191">
        <f>N$19/N$14</f>
        <v>0.33625902687358933</v>
      </c>
      <c r="Q19" s="234">
        <f>' Total des coûts de MO'!Q23</f>
        <v>29724.32</v>
      </c>
      <c r="R19" s="191">
        <f>Q$19/Q$14</f>
        <v>0.33367718991540291</v>
      </c>
      <c r="T19" s="234">
        <f>' Total des coûts de MO'!T23</f>
        <v>30464.011000000002</v>
      </c>
      <c r="U19" s="191">
        <f>T$19/T$14</f>
        <v>0.33277015873610011</v>
      </c>
      <c r="W19" s="234">
        <f>' Total des coûts de MO'!W23</f>
        <v>32499.526500000007</v>
      </c>
      <c r="X19" s="191">
        <f>W$19/W$14</f>
        <v>0.33050896427100279</v>
      </c>
      <c r="Z19" s="234">
        <f>' Total des coûts de MO'!Z23</f>
        <v>32888.898000000001</v>
      </c>
      <c r="AA19" s="191">
        <f>Z$19/Z$14</f>
        <v>0.33011151498459396</v>
      </c>
      <c r="AC19" s="234">
        <f>' Total des coûts de MO'!AC23</f>
        <v>30330.171000000002</v>
      </c>
      <c r="AD19" s="191">
        <f>AC$19/AC$14</f>
        <v>0.33293063918260885</v>
      </c>
      <c r="AF19" s="234">
        <f>' Total des coûts de MO'!AF23</f>
        <v>31307.589500000006</v>
      </c>
      <c r="AG19" s="191">
        <f>AF$19/AF$14</f>
        <v>0.33179359372863593</v>
      </c>
      <c r="AI19" s="234">
        <f>' Total des coûts de MO'!AI23</f>
        <v>29312.1155</v>
      </c>
      <c r="AJ19" s="191">
        <f>AI$19/AI$14</f>
        <v>0.33420477536289317</v>
      </c>
      <c r="AL19" s="234">
        <f>' Total des coûts de MO'!AL23</f>
        <v>32241.369000000002</v>
      </c>
      <c r="AM19" s="191">
        <f>AL$19/AL$14</f>
        <v>0.33077831273905128</v>
      </c>
      <c r="AP19" s="219">
        <f>+$AL19+$AI19+$AF19+$AC19+$Z19+$W19+$T19+$Q19+$N19+$K19+$H19+$E19</f>
        <v>352358.40575000003</v>
      </c>
      <c r="AQ19" s="194">
        <f>AP$19/AP$14</f>
        <v>0.33413849546496527</v>
      </c>
      <c r="AS19" s="220">
        <f>+AS21/AV19</f>
        <v>275045.65730287466</v>
      </c>
      <c r="AT19" s="221">
        <f>+AS19/AS14</f>
        <v>0.27692265846654696</v>
      </c>
      <c r="AV19" s="540">
        <f>1+AV20</f>
        <v>1.133890602303069</v>
      </c>
      <c r="AX19" s="197" t="s">
        <v>152</v>
      </c>
      <c r="AY19" s="206">
        <v>432555</v>
      </c>
      <c r="AZ19" s="207">
        <f>+AY19/AY22</f>
        <v>8.8752169791576893E-2</v>
      </c>
    </row>
    <row r="20" spans="3:52" ht="18" thickTop="1" thickBot="1" x14ac:dyDescent="0.25">
      <c r="C20" s="208" t="s">
        <v>188</v>
      </c>
      <c r="D20" s="235"/>
      <c r="E20" s="236">
        <f>' Total des coûts de MO'!E36</f>
        <v>3331.3626666666669</v>
      </c>
      <c r="F20" s="237">
        <f>E$20/E$14</f>
        <v>4.5643441724515892E-2</v>
      </c>
      <c r="G20" s="235"/>
      <c r="H20" s="236">
        <f>' Total des coûts de MO'!H36</f>
        <v>3240.9899166666669</v>
      </c>
      <c r="I20" s="237">
        <f>H$20/H$14</f>
        <v>4.5812822023017209E-2</v>
      </c>
      <c r="J20" s="235"/>
      <c r="K20" s="236">
        <f>' Total des coûts de MO'!K36</f>
        <v>3566.9497499999998</v>
      </c>
      <c r="L20" s="237">
        <f>K$20/K$14</f>
        <v>4.5247198173342211E-2</v>
      </c>
      <c r="M20" s="235"/>
      <c r="N20" s="236">
        <f>' Total des coûts de MO'!N36</f>
        <v>3724.3421052500003</v>
      </c>
      <c r="O20" s="237">
        <f>N$20/N$14</f>
        <v>4.5013673493566608E-2</v>
      </c>
      <c r="P20" s="235"/>
      <c r="Q20" s="236">
        <f>' Total des coûts de MO'!Q36</f>
        <v>3979.9669866666663</v>
      </c>
      <c r="R20" s="237">
        <f>Q$20/Q$14</f>
        <v>4.4678034689002374E-2</v>
      </c>
      <c r="S20" s="235"/>
      <c r="T20" s="236">
        <f>' Total des coûts de MO'!T36</f>
        <v>4079.3321443333343</v>
      </c>
      <c r="U20" s="237">
        <f>T$20/T$14</f>
        <v>4.4560120635693028E-2</v>
      </c>
      <c r="V20" s="235"/>
      <c r="W20" s="236">
        <f>' Total des coûts de MO'!W36</f>
        <v>4352.7697265000006</v>
      </c>
      <c r="X20" s="237">
        <f>W$20/W$14</f>
        <v>4.4266165355230362E-2</v>
      </c>
      <c r="Y20" s="235"/>
      <c r="Z20" s="236">
        <f>' Total des coûts de MO'!Z36</f>
        <v>4405.0752980000007</v>
      </c>
      <c r="AA20" s="237">
        <f>Z$20/Z$14</f>
        <v>4.4214496947997221E-2</v>
      </c>
      <c r="AB20" s="235"/>
      <c r="AC20" s="236">
        <f>' Total des coûts de MO'!AC36</f>
        <v>4061.3529710000007</v>
      </c>
      <c r="AD20" s="237">
        <f>AC$20/AC$14</f>
        <v>4.4580983093739153E-2</v>
      </c>
      <c r="AE20" s="235"/>
      <c r="AF20" s="236">
        <f>' Total des coûts de MO'!AF36</f>
        <v>4192.6528561666673</v>
      </c>
      <c r="AG20" s="237">
        <f>AF$20/AF$14</f>
        <v>4.443316718472267E-2</v>
      </c>
      <c r="AH20" s="235"/>
      <c r="AI20" s="236">
        <f>' Total des coûts de MO'!AI36</f>
        <v>3924.5941821666665</v>
      </c>
      <c r="AJ20" s="237">
        <f>AI$20/AI$14</f>
        <v>4.4746620797176111E-2</v>
      </c>
      <c r="AK20" s="235"/>
      <c r="AL20" s="236">
        <f>' Total des coûts de MO'!AL36</f>
        <v>4318.090569</v>
      </c>
      <c r="AM20" s="237">
        <f>AL$20/AL$14</f>
        <v>4.4301180656076668E-2</v>
      </c>
      <c r="AN20" s="235"/>
      <c r="AO20" s="235"/>
      <c r="AP20" s="219">
        <f>+$AL20+$AI20+$AF20+$AC20+$Z20+$W20+$T20+$Q20+$N20+$K20+$H20+$E20</f>
        <v>47177.479172416664</v>
      </c>
      <c r="AQ20" s="238">
        <f>AP$20/AP$14</f>
        <v>4.4738004410445481E-2</v>
      </c>
      <c r="AS20" s="220">
        <f>+AV20*AS19</f>
        <v>36826.028717125388</v>
      </c>
      <c r="AT20" s="239">
        <f>+AS20/AS14</f>
        <v>3.7077341533453032E-2</v>
      </c>
      <c r="AV20" s="541">
        <f>' Total des coûts de MO'!AP41/' Total des coûts de MO'!AP23</f>
        <v>0.13389060230306896</v>
      </c>
      <c r="AX20" s="197" t="s">
        <v>153</v>
      </c>
      <c r="AY20" s="206">
        <v>398996</v>
      </c>
      <c r="AZ20" s="207">
        <f>+AY20/AY22</f>
        <v>8.1866492672978047E-2</v>
      </c>
    </row>
    <row r="21" spans="3:52" ht="17" thickBot="1" x14ac:dyDescent="0.25">
      <c r="C21" s="240" t="s">
        <v>154</v>
      </c>
      <c r="D21" s="241"/>
      <c r="E21" s="242">
        <f>+E19+E20</f>
        <v>28227.362666666671</v>
      </c>
      <c r="F21" s="243">
        <f>E21/E14</f>
        <v>0.3867468396054074</v>
      </c>
      <c r="G21" s="241"/>
      <c r="H21" s="242">
        <f>+H19+H20</f>
        <v>27464.239916666666</v>
      </c>
      <c r="I21" s="243">
        <f>H21/H14</f>
        <v>0.38821914527699569</v>
      </c>
      <c r="J21" s="241"/>
      <c r="K21" s="242">
        <f>+K19+K20</f>
        <v>30216.69975</v>
      </c>
      <c r="L21" s="243">
        <f>K21/K14</f>
        <v>0.38330256873751306</v>
      </c>
      <c r="M21" s="241"/>
      <c r="N21" s="242">
        <f>+N19+N20</f>
        <v>31545.747355250005</v>
      </c>
      <c r="O21" s="243">
        <f>N21/N14</f>
        <v>0.38127270036715594</v>
      </c>
      <c r="P21" s="244"/>
      <c r="Q21" s="242">
        <f>+Q19+Q20</f>
        <v>33704.286986666666</v>
      </c>
      <c r="R21" s="243">
        <f>Q21/Q14</f>
        <v>0.37835522460440529</v>
      </c>
      <c r="S21" s="241"/>
      <c r="T21" s="242">
        <f>+T19+T20</f>
        <v>34543.343144333339</v>
      </c>
      <c r="U21" s="243">
        <f>T21/T14</f>
        <v>0.3773302793717932</v>
      </c>
      <c r="V21" s="241"/>
      <c r="W21" s="242">
        <f>+W19+W20</f>
        <v>36852.29622650001</v>
      </c>
      <c r="X21" s="243">
        <f>W21/W14</f>
        <v>0.37477512962623316</v>
      </c>
      <c r="Y21" s="241"/>
      <c r="Z21" s="242">
        <f>+Z19+Z20</f>
        <v>37293.973298000004</v>
      </c>
      <c r="AA21" s="243">
        <f>Z21/Z14</f>
        <v>0.37432601193259118</v>
      </c>
      <c r="AB21" s="241"/>
      <c r="AC21" s="242">
        <f>+AC19+AC20</f>
        <v>34391.523971000002</v>
      </c>
      <c r="AD21" s="243">
        <f>AC21/AC14</f>
        <v>0.37751162227634799</v>
      </c>
      <c r="AE21" s="241"/>
      <c r="AF21" s="242">
        <f>+AF19+AF20</f>
        <v>35500.242356166673</v>
      </c>
      <c r="AG21" s="243">
        <f>AF21/AF14</f>
        <v>0.3762267609133586</v>
      </c>
      <c r="AH21" s="241"/>
      <c r="AI21" s="242">
        <f>+AI19+AI20</f>
        <v>33236.709682166664</v>
      </c>
      <c r="AJ21" s="243">
        <f>AI21/AI14</f>
        <v>0.37895139616006929</v>
      </c>
      <c r="AK21" s="241"/>
      <c r="AL21" s="242">
        <f>+AL19+AL20</f>
        <v>36559.459568999999</v>
      </c>
      <c r="AM21" s="243">
        <f>AL21/AL14</f>
        <v>0.37507949339512792</v>
      </c>
      <c r="AN21" s="241"/>
      <c r="AO21" s="241"/>
      <c r="AP21" s="245">
        <f>+$AL21+$AI21+$AF21+$AC21+$Z21+$W21+$T21+$Q21+$N21+$K21+$H21+$E21</f>
        <v>399535.88492241671</v>
      </c>
      <c r="AQ21" s="246">
        <f>AP$21/AP$14</f>
        <v>0.37887649987541078</v>
      </c>
      <c r="AS21" s="247">
        <f>+AT21*AS14</f>
        <v>311871.68602000008</v>
      </c>
      <c r="AT21" s="230">
        <v>0.314</v>
      </c>
      <c r="AV21" s="187"/>
      <c r="AX21" s="197" t="s">
        <v>155</v>
      </c>
      <c r="AY21" s="206">
        <v>395653</v>
      </c>
      <c r="AZ21" s="207">
        <f>+AY21/AY22</f>
        <v>8.1180571799070123E-2</v>
      </c>
    </row>
    <row r="22" spans="3:52" ht="18" thickTop="1" thickBot="1" x14ac:dyDescent="0.25">
      <c r="C22" s="200"/>
      <c r="E22" s="218"/>
      <c r="F22" s="191"/>
      <c r="H22" s="218"/>
      <c r="I22" s="191"/>
      <c r="K22" s="218"/>
      <c r="L22" s="191"/>
      <c r="N22" s="218"/>
      <c r="O22" s="191"/>
      <c r="P22" s="192"/>
      <c r="Q22" s="218"/>
      <c r="R22" s="191"/>
      <c r="T22" s="218"/>
      <c r="U22" s="191"/>
      <c r="W22" s="218"/>
      <c r="X22" s="191"/>
      <c r="Z22" s="218"/>
      <c r="AA22" s="191"/>
      <c r="AC22" s="218"/>
      <c r="AD22" s="191"/>
      <c r="AF22" s="218"/>
      <c r="AG22" s="191"/>
      <c r="AI22" s="218"/>
      <c r="AJ22" s="191"/>
      <c r="AL22" s="218"/>
      <c r="AM22" s="191"/>
      <c r="AP22" s="219"/>
      <c r="AQ22" s="194"/>
      <c r="AS22" s="220"/>
      <c r="AT22" s="221"/>
      <c r="AX22" s="197" t="s">
        <v>10</v>
      </c>
      <c r="AY22" s="248">
        <f>+SUM(AY10:AY21)</f>
        <v>4873740</v>
      </c>
      <c r="AZ22" s="249">
        <f>+SUM(AZ10:AZ21)</f>
        <v>1</v>
      </c>
    </row>
    <row r="23" spans="3:52" ht="18" thickTop="1" thickBot="1" x14ac:dyDescent="0.25">
      <c r="C23" s="240" t="s">
        <v>156</v>
      </c>
      <c r="D23" s="241"/>
      <c r="E23" s="242">
        <f>E16+E21</f>
        <v>50352.281421240768</v>
      </c>
      <c r="F23" s="243">
        <f>E$23/E$14</f>
        <v>0.68988328582262648</v>
      </c>
      <c r="G23" s="241"/>
      <c r="H23" s="242">
        <f>H16+H21</f>
        <v>48909.375190598643</v>
      </c>
      <c r="I23" s="243">
        <f>H$23/H$14</f>
        <v>0.69135559149421466</v>
      </c>
      <c r="J23" s="241"/>
      <c r="K23" s="242">
        <f>K16+K21</f>
        <v>54113.703646418915</v>
      </c>
      <c r="L23" s="243">
        <f>K$23/K$14</f>
        <v>0.68643901495473203</v>
      </c>
      <c r="M23" s="241"/>
      <c r="N23" s="242">
        <f>N16+N21</f>
        <v>56626.655947258085</v>
      </c>
      <c r="O23" s="243">
        <f>N$23/N$14</f>
        <v>0.68440914658437502</v>
      </c>
      <c r="P23" s="244"/>
      <c r="Q23" s="242">
        <f>Q16+Q21</f>
        <v>60708.004961239167</v>
      </c>
      <c r="R23" s="243">
        <f>Q$23/Q$14</f>
        <v>0.68149167082162432</v>
      </c>
      <c r="S23" s="241"/>
      <c r="T23" s="242">
        <f>T16+T21</f>
        <v>62294.485455702044</v>
      </c>
      <c r="U23" s="243">
        <f>T$23/T$14</f>
        <v>0.68046672558901222</v>
      </c>
      <c r="V23" s="241"/>
      <c r="W23" s="242">
        <f>W16+W21</f>
        <v>66660.234987502277</v>
      </c>
      <c r="X23" s="243">
        <f>W$23/W$14</f>
        <v>0.6779115758434523</v>
      </c>
      <c r="Y23" s="241"/>
      <c r="Z23" s="242">
        <f>Z16+Z21</f>
        <v>67495.354368229819</v>
      </c>
      <c r="AA23" s="243">
        <f>Z$23/Z$14</f>
        <v>0.67746245814981021</v>
      </c>
      <c r="AB23" s="241"/>
      <c r="AC23" s="242">
        <f>AC16+AC21</f>
        <v>62007.427009162995</v>
      </c>
      <c r="AD23" s="243">
        <f>AC$23/AC$14</f>
        <v>0.68064806849356696</v>
      </c>
      <c r="AE23" s="241"/>
      <c r="AF23" s="242">
        <f>AF16+AF21</f>
        <v>64103.782629519555</v>
      </c>
      <c r="AG23" s="243">
        <f>AF$23/AF$14</f>
        <v>0.67936320713057763</v>
      </c>
      <c r="AH23" s="241"/>
      <c r="AI23" s="242">
        <f>AI16+AI21</f>
        <v>59823.913632590011</v>
      </c>
      <c r="AJ23" s="243">
        <f>AI$23/AI$14</f>
        <v>0.68208784237728826</v>
      </c>
      <c r="AK23" s="241"/>
      <c r="AL23" s="242">
        <f>AL16+AL21</f>
        <v>66106.54183962119</v>
      </c>
      <c r="AM23" s="243">
        <f>AL$23/AL$14</f>
        <v>0.67821593961234694</v>
      </c>
      <c r="AN23" s="241"/>
      <c r="AO23" s="241"/>
      <c r="AP23" s="250">
        <f>+$AL23+$AI23+$AF23+$AC23+$Z23+$W23+$T23+$Q23+$N23+$K23+$H23+$E23</f>
        <v>719201.76108908351</v>
      </c>
      <c r="AQ23" s="246">
        <f>AP$23/AP$14</f>
        <v>0.68201294609262986</v>
      </c>
      <c r="AR23" s="251"/>
      <c r="AS23" s="252">
        <f>+AT23*AS14</f>
        <v>677377.35626000003</v>
      </c>
      <c r="AT23" s="253">
        <f>+AT16+AT21</f>
        <v>0.68199999999999994</v>
      </c>
      <c r="AX23" s="197" t="s">
        <v>157</v>
      </c>
      <c r="AY23" s="248">
        <f>+AY22/12</f>
        <v>406145</v>
      </c>
      <c r="AZ23" s="249"/>
    </row>
    <row r="24" spans="3:52" ht="14" thickTop="1" x14ac:dyDescent="0.15">
      <c r="C24" s="200"/>
      <c r="E24" s="218"/>
      <c r="F24" s="191"/>
      <c r="H24" s="218"/>
      <c r="I24" s="191"/>
      <c r="K24" s="218"/>
      <c r="L24" s="191"/>
      <c r="N24" s="218"/>
      <c r="O24" s="191"/>
      <c r="P24" s="192"/>
      <c r="Q24" s="218"/>
      <c r="R24" s="191"/>
      <c r="T24" s="218"/>
      <c r="U24" s="191"/>
      <c r="W24" s="218"/>
      <c r="X24" s="191"/>
      <c r="Z24" s="218"/>
      <c r="AA24" s="191"/>
      <c r="AC24" s="218"/>
      <c r="AD24" s="191"/>
      <c r="AF24" s="218"/>
      <c r="AG24" s="191"/>
      <c r="AI24" s="218"/>
      <c r="AJ24" s="191"/>
      <c r="AL24" s="218"/>
      <c r="AM24" s="191"/>
      <c r="AP24" s="219"/>
      <c r="AQ24" s="194"/>
      <c r="AS24" s="220"/>
      <c r="AT24" s="221"/>
    </row>
    <row r="25" spans="3:52" x14ac:dyDescent="0.15">
      <c r="C25" s="254" t="s">
        <v>158</v>
      </c>
      <c r="D25" s="210"/>
      <c r="E25" s="255">
        <f>E14-E23</f>
        <v>22634.385245425903</v>
      </c>
      <c r="F25" s="211">
        <f>E$25/E$14</f>
        <v>0.31011671417737352</v>
      </c>
      <c r="G25" s="212"/>
      <c r="H25" s="255">
        <f>H14-H23</f>
        <v>21834.791476068029</v>
      </c>
      <c r="I25" s="211">
        <f>H$25/H$14</f>
        <v>0.30864440850578534</v>
      </c>
      <c r="J25" s="210"/>
      <c r="K25" s="255">
        <f>K14-K23</f>
        <v>24718.796353581085</v>
      </c>
      <c r="L25" s="211">
        <f>K$25/K$14</f>
        <v>0.31356098504526791</v>
      </c>
      <c r="M25" s="210"/>
      <c r="N25" s="255">
        <f>N14-N23</f>
        <v>26111.361552741917</v>
      </c>
      <c r="O25" s="211">
        <f>N$25/N$14</f>
        <v>0.31559085341562498</v>
      </c>
      <c r="P25" s="212"/>
      <c r="Q25" s="255">
        <f>Q14-Q23</f>
        <v>28373.061705427499</v>
      </c>
      <c r="R25" s="211">
        <f>Q$25/Q$14</f>
        <v>0.31850832917837574</v>
      </c>
      <c r="S25" s="210"/>
      <c r="T25" s="255">
        <f>T14-T23</f>
        <v>29252.217877631294</v>
      </c>
      <c r="U25" s="211">
        <f>T$25/T$14</f>
        <v>0.31953327441098783</v>
      </c>
      <c r="V25" s="213"/>
      <c r="W25" s="255">
        <f>W14-W23</f>
        <v>31671.520012497742</v>
      </c>
      <c r="X25" s="211">
        <f>W$25/W$14</f>
        <v>0.32208842415654776</v>
      </c>
      <c r="Y25" s="213"/>
      <c r="Z25" s="255">
        <f>Z14-Z23</f>
        <v>32134.305631770185</v>
      </c>
      <c r="AA25" s="211">
        <f>Z$25/Z$14</f>
        <v>0.32253754185018985</v>
      </c>
      <c r="AB25" s="213"/>
      <c r="AC25" s="255">
        <f>AC14-AC23</f>
        <v>29093.142990837012</v>
      </c>
      <c r="AD25" s="211">
        <f>AC$25/AC$14</f>
        <v>0.31935193150643304</v>
      </c>
      <c r="AE25" s="213"/>
      <c r="AF25" s="255">
        <f>AF14-AF23</f>
        <v>30254.849037147127</v>
      </c>
      <c r="AG25" s="211">
        <f>AF$25/AF$14</f>
        <v>0.32063679286942243</v>
      </c>
      <c r="AH25" s="213"/>
      <c r="AI25" s="255">
        <f>AI14-AI23</f>
        <v>27883.138034076655</v>
      </c>
      <c r="AJ25" s="211">
        <f>AI$25/AI$14</f>
        <v>0.31791215762271174</v>
      </c>
      <c r="AK25" s="213"/>
      <c r="AL25" s="255">
        <f>AL14-AL23</f>
        <v>31364.688160378821</v>
      </c>
      <c r="AM25" s="211">
        <f>AL$25/AL$14</f>
        <v>0.321784060387653</v>
      </c>
      <c r="AN25" s="213"/>
      <c r="AO25" s="213"/>
      <c r="AP25" s="214">
        <f>+$AL25+$AI25+$AF25+$AC25+$Z25+$W25+$T25+$Q25+$N25+$K25+$H25+$E25</f>
        <v>335326.25807758328</v>
      </c>
      <c r="AQ25" s="211">
        <f>AP$25/AP$14</f>
        <v>0.31798705390737037</v>
      </c>
      <c r="AR25" s="213"/>
      <c r="AS25" s="215">
        <f>+AS14-AS23</f>
        <v>315844.57374000014</v>
      </c>
      <c r="AT25" s="216">
        <f>AS$25/AS$14</f>
        <v>0.31800000000000006</v>
      </c>
      <c r="AU25" s="210"/>
      <c r="AV25" s="210"/>
      <c r="AW25" s="210"/>
      <c r="AX25" s="210"/>
      <c r="AY25" s="210"/>
      <c r="AZ25" s="210"/>
    </row>
    <row r="26" spans="3:52" x14ac:dyDescent="0.15">
      <c r="C26" s="200"/>
      <c r="E26" s="218"/>
      <c r="F26" s="191"/>
      <c r="H26" s="218"/>
      <c r="I26" s="191"/>
      <c r="K26" s="218"/>
      <c r="L26" s="191"/>
      <c r="N26" s="218"/>
      <c r="O26" s="191"/>
      <c r="P26" s="192"/>
      <c r="Q26" s="218"/>
      <c r="R26" s="191"/>
      <c r="T26" s="218"/>
      <c r="U26" s="191"/>
      <c r="W26" s="218"/>
      <c r="X26" s="191"/>
      <c r="Z26" s="218"/>
      <c r="AA26" s="191"/>
      <c r="AC26" s="218"/>
      <c r="AD26" s="191"/>
      <c r="AF26" s="218"/>
      <c r="AG26" s="191"/>
      <c r="AI26" s="218"/>
      <c r="AJ26" s="191"/>
      <c r="AL26" s="218"/>
      <c r="AM26" s="191"/>
      <c r="AP26" s="219"/>
      <c r="AQ26" s="194"/>
      <c r="AS26" s="220"/>
      <c r="AT26" s="221"/>
    </row>
    <row r="27" spans="3:52" x14ac:dyDescent="0.15">
      <c r="C27" s="684" t="s">
        <v>177</v>
      </c>
      <c r="E27" s="256">
        <f>'Coût d''occupation '!E26</f>
        <v>5959.7333333333336</v>
      </c>
      <c r="F27" s="207">
        <f>E27/$E$14</f>
        <v>8.1655096821337231E-2</v>
      </c>
      <c r="G27" s="209"/>
      <c r="H27" s="256">
        <f>'Coût d''occupation '!H26</f>
        <v>5914.8833333333332</v>
      </c>
      <c r="I27" s="191">
        <f>+H27/H14</f>
        <v>8.3609484880967797E-2</v>
      </c>
      <c r="J27" s="257">
        <v>1</v>
      </c>
      <c r="K27" s="256">
        <f>'Coût d''occupation '!K26</f>
        <v>6076.65</v>
      </c>
      <c r="L27" s="191">
        <f>+K27/K14</f>
        <v>7.7083055846256299E-2</v>
      </c>
      <c r="N27" s="256">
        <f>'Coût d''occupation '!N26</f>
        <v>6154.7603500000005</v>
      </c>
      <c r="O27" s="191">
        <f>+N27/N14</f>
        <v>7.4388540310383916E-2</v>
      </c>
      <c r="P27" s="192"/>
      <c r="Q27" s="256">
        <f>'Coût d''occupation '!Q26</f>
        <v>6281.6213333333326</v>
      </c>
      <c r="R27" s="191">
        <f>+Q27/Q14</f>
        <v>7.0515784873104337E-2</v>
      </c>
      <c r="T27" s="256">
        <f>'Coût d''occupation '!T26</f>
        <v>6330.9340666666667</v>
      </c>
      <c r="U27" s="191">
        <f>+T27/T14</f>
        <v>6.9155238104150182E-2</v>
      </c>
      <c r="W27" s="256">
        <f>'Coût d''occupation '!W26</f>
        <v>6466.6350999999995</v>
      </c>
      <c r="X27" s="191">
        <f>+W27/W14</f>
        <v>6.5763446406504167E-2</v>
      </c>
      <c r="Z27" s="256">
        <f>'Coût d''occupation '!Z26</f>
        <v>6492.5931999999993</v>
      </c>
      <c r="AA27" s="191">
        <f>+Z27/Z14</f>
        <v>6.5167272476890914E-2</v>
      </c>
      <c r="AC27" s="256">
        <f>'Coût d''occupation '!AC26</f>
        <v>6322.0113999999994</v>
      </c>
      <c r="AD27" s="191">
        <f>+AC27/AC14</f>
        <v>6.9395958773913261E-2</v>
      </c>
      <c r="AF27" s="256">
        <f>'Coût d''occupation '!AF26</f>
        <v>6387.1726333333336</v>
      </c>
      <c r="AG27" s="191">
        <f>+AF27/AF14</f>
        <v>6.769039059295387E-2</v>
      </c>
      <c r="AI27" s="256">
        <f>'Coût d''occupation '!AI26</f>
        <v>6254.1410333333333</v>
      </c>
      <c r="AJ27" s="191">
        <f>+AI27/AI14</f>
        <v>7.1307163044339789E-2</v>
      </c>
      <c r="AL27" s="256">
        <f>'Coût d''occupation '!AL26</f>
        <v>6449.4246000000003</v>
      </c>
      <c r="AM27" s="191">
        <f>+AL27/AL14</f>
        <v>6.616746910857696E-2</v>
      </c>
      <c r="AP27" s="219">
        <f t="shared" ref="AP27:AP34" si="1">+$AL27+$AI27+$AF27+$AC27+$Z27+$W27+$T27+$Q27+$N27+$K27+$H27+$E27</f>
        <v>75090.560383333344</v>
      </c>
      <c r="AQ27" s="194">
        <f>+AP27/AP14</f>
        <v>7.120774319744784E-2</v>
      </c>
      <c r="AS27" s="220">
        <v>0</v>
      </c>
      <c r="AT27" s="221">
        <f>+AS27/AS14</f>
        <v>0</v>
      </c>
    </row>
    <row r="28" spans="3:52" x14ac:dyDescent="0.15">
      <c r="C28" s="685" t="s">
        <v>178</v>
      </c>
      <c r="D28" s="209"/>
      <c r="E28" s="256">
        <f>'Coût direct d''exploitation '!E34</f>
        <v>2386.4666666666662</v>
      </c>
      <c r="F28" s="207">
        <f>E$28/E$14</f>
        <v>3.2697296309828268E-2</v>
      </c>
      <c r="G28" s="209"/>
      <c r="H28" s="256">
        <f>'Coût direct d''exploitation '!H34</f>
        <v>2352.8291666666664</v>
      </c>
      <c r="I28" s="207">
        <f>H$28/H$14</f>
        <v>3.32582780676852E-2</v>
      </c>
      <c r="J28" s="259">
        <v>1</v>
      </c>
      <c r="K28" s="256">
        <f>'Coût direct d''exploitation '!K34</f>
        <v>2474.1541666666667</v>
      </c>
      <c r="L28" s="207">
        <f>K$28/K$14</f>
        <v>3.1384951215129124E-2</v>
      </c>
      <c r="M28" s="209"/>
      <c r="N28" s="256">
        <f>'Coût direct d''exploitation '!N34</f>
        <v>2532.7369291666664</v>
      </c>
      <c r="O28" s="207">
        <f>N$28/N$14</f>
        <v>3.0611525459462045E-2</v>
      </c>
      <c r="P28" s="209"/>
      <c r="Q28" s="256">
        <f>'Coût direct d''exploitation '!Q34</f>
        <v>2627.8826666666664</v>
      </c>
      <c r="R28" s="207">
        <f>Q$28/Q$14</f>
        <v>2.9499901213576245E-2</v>
      </c>
      <c r="S28" s="209"/>
      <c r="T28" s="256">
        <f>'Coût direct d''exploitation '!T34</f>
        <v>2664.8672166666665</v>
      </c>
      <c r="U28" s="207">
        <f>T$28/T$14</f>
        <v>2.9109373900265328E-2</v>
      </c>
      <c r="V28" s="209"/>
      <c r="W28" s="256">
        <f>'Coût direct d''exploitation '!W34</f>
        <v>2766.6429916666671</v>
      </c>
      <c r="X28" s="207">
        <f>W$28/W$14</f>
        <v>2.8135804061126198E-2</v>
      </c>
      <c r="Y28" s="209"/>
      <c r="Z28" s="256">
        <f>'Coût direct d''exploitation '!Z34</f>
        <v>2786.1115666666665</v>
      </c>
      <c r="AA28" s="207">
        <f>Z$28/Z$14</f>
        <v>2.7964680062811279E-2</v>
      </c>
      <c r="AB28" s="209"/>
      <c r="AC28" s="256">
        <f>'Coût direct d''exploitation '!AC34</f>
        <v>2658.1752166666665</v>
      </c>
      <c r="AD28" s="207">
        <f>AC$28/AC$14</f>
        <v>2.9178469648067695E-2</v>
      </c>
      <c r="AE28" s="209"/>
      <c r="AF28" s="256">
        <f>'Coût direct d''exploitation '!AF34</f>
        <v>2707.0461416666667</v>
      </c>
      <c r="AG28" s="207">
        <f>AF$28/AF$14</f>
        <v>2.8688908410940461E-2</v>
      </c>
      <c r="AH28" s="209"/>
      <c r="AI28" s="256">
        <f>'Coût direct d''exploitation '!AI34</f>
        <v>2607.2724416666665</v>
      </c>
      <c r="AJ28" s="207">
        <f>AI$28/AI$14</f>
        <v>2.9727056059023454E-2</v>
      </c>
      <c r="AK28" s="209"/>
      <c r="AL28" s="256">
        <f>'Coût direct d''exploitation '!AL34</f>
        <v>2753.7351166666667</v>
      </c>
      <c r="AM28" s="207">
        <f>AL$28/AL$14</f>
        <v>2.8251773540424865E-2</v>
      </c>
      <c r="AN28" s="209"/>
      <c r="AO28" s="209"/>
      <c r="AP28" s="219">
        <f t="shared" si="1"/>
        <v>31317.920287499997</v>
      </c>
      <c r="AQ28" s="194">
        <f>AP$28/AP$14</f>
        <v>2.9698518880748911E-2</v>
      </c>
      <c r="AS28" s="220">
        <v>0</v>
      </c>
      <c r="AT28" s="221">
        <f>AS$28/AS$14</f>
        <v>0</v>
      </c>
    </row>
    <row r="29" spans="3:52" x14ac:dyDescent="0.15">
      <c r="C29" s="685" t="s">
        <v>179</v>
      </c>
      <c r="D29" s="209"/>
      <c r="E29" s="256">
        <f>'Musique &amp; Divertissement'!E24</f>
        <v>100</v>
      </c>
      <c r="F29" s="207">
        <f>E$29/E$14</f>
        <v>1.3701132626963827E-3</v>
      </c>
      <c r="G29" s="209"/>
      <c r="H29" s="256">
        <f>'Musique &amp; Divertissement'!H24</f>
        <v>100</v>
      </c>
      <c r="I29" s="207">
        <f>H$29/H$14</f>
        <v>1.4135441084659511E-3</v>
      </c>
      <c r="J29" s="259">
        <v>1</v>
      </c>
      <c r="K29" s="256">
        <f>'Musique &amp; Divertissement'!K24</f>
        <v>100</v>
      </c>
      <c r="L29" s="207">
        <f>K$29/K$14</f>
        <v>1.2685123521390289E-3</v>
      </c>
      <c r="M29" s="209"/>
      <c r="N29" s="256">
        <f>'Musique &amp; Divertissement'!N24</f>
        <v>100</v>
      </c>
      <c r="O29" s="207">
        <f>N$29/N$14</f>
        <v>1.2086342291196426E-3</v>
      </c>
      <c r="P29" s="209"/>
      <c r="Q29" s="256">
        <f>'Musique &amp; Divertissement'!Q24</f>
        <v>100</v>
      </c>
      <c r="R29" s="207">
        <f>Q$29/Q$14</f>
        <v>1.1225729971800966E-3</v>
      </c>
      <c r="S29" s="209"/>
      <c r="T29" s="256">
        <f>'Musique &amp; Divertissement'!T24</f>
        <v>100</v>
      </c>
      <c r="U29" s="207">
        <f>T$29/T$14</f>
        <v>1.0923386245366708E-3</v>
      </c>
      <c r="V29" s="209"/>
      <c r="W29" s="256">
        <f>'Musique &amp; Divertissement'!W24</f>
        <v>100</v>
      </c>
      <c r="X29" s="207">
        <f>W$29/W$14</f>
        <v>1.0169654757000929E-3</v>
      </c>
      <c r="Y29" s="209"/>
      <c r="Z29" s="256">
        <f>'Musique &amp; Divertissement'!Z24</f>
        <v>100</v>
      </c>
      <c r="AA29" s="207">
        <f>Z$29/Z$14</f>
        <v>1.0037171661531315E-3</v>
      </c>
      <c r="AB29" s="209"/>
      <c r="AC29" s="256">
        <f>'Musique &amp; Divertissement'!AC24</f>
        <v>100</v>
      </c>
      <c r="AD29" s="207">
        <f>AC$29/AC$14</f>
        <v>1.0976879727536281E-3</v>
      </c>
      <c r="AE29" s="209"/>
      <c r="AF29" s="256">
        <f>'Musique &amp; Divertissement'!AF24</f>
        <v>100</v>
      </c>
      <c r="AG29" s="207">
        <f>AF$29/AF$14</f>
        <v>1.0597864576211971E-3</v>
      </c>
      <c r="AH29" s="209"/>
      <c r="AI29" s="256">
        <f>'Musique &amp; Divertissement'!AI24</f>
        <v>100</v>
      </c>
      <c r="AJ29" s="207">
        <f>AI$29/AI$14</f>
        <v>1.1401591787631063E-3</v>
      </c>
      <c r="AK29" s="209"/>
      <c r="AL29" s="256">
        <f>'Musique &amp; Divertissement'!AL24</f>
        <v>100</v>
      </c>
      <c r="AM29" s="207">
        <f>AL$29/AL$14</f>
        <v>1.0259437579683767E-3</v>
      </c>
      <c r="AN29" s="209"/>
      <c r="AO29" s="209"/>
      <c r="AP29" s="219">
        <f t="shared" si="1"/>
        <v>1200</v>
      </c>
      <c r="AQ29" s="194">
        <f>AP$29/AP$14</f>
        <v>1.1379498488321739E-3</v>
      </c>
      <c r="AS29" s="220">
        <v>0</v>
      </c>
      <c r="AT29" s="221">
        <f>AS$29/AS$14</f>
        <v>0</v>
      </c>
    </row>
    <row r="30" spans="3:52" x14ac:dyDescent="0.15">
      <c r="C30" s="685" t="s">
        <v>180</v>
      </c>
      <c r="D30" s="209"/>
      <c r="E30" s="256">
        <f>'Mark &amp; Communication marketing'!E25</f>
        <v>3649.3333333333339</v>
      </c>
      <c r="F30" s="207">
        <f>E$30/E$14</f>
        <v>0.05</v>
      </c>
      <c r="G30" s="209"/>
      <c r="H30" s="256">
        <f>'Mark &amp; Communication marketing'!H25</f>
        <v>3537.2083333333339</v>
      </c>
      <c r="I30" s="207">
        <f>H$30/H$14</f>
        <v>0.05</v>
      </c>
      <c r="J30" s="259">
        <v>1</v>
      </c>
      <c r="K30" s="256">
        <f>'Mark &amp; Communication marketing'!K25</f>
        <v>3941.625</v>
      </c>
      <c r="L30" s="207">
        <f>K$30/K$14</f>
        <v>0.05</v>
      </c>
      <c r="M30" s="209"/>
      <c r="N30" s="256">
        <f>'Mark &amp; Communication marketing'!N25</f>
        <v>4136.9008750000003</v>
      </c>
      <c r="O30" s="207">
        <f>N$30/N$14</f>
        <v>0.05</v>
      </c>
      <c r="P30" s="209"/>
      <c r="Q30" s="256">
        <f>'Mark &amp; Communication marketing'!Q25</f>
        <v>4454.0533333333333</v>
      </c>
      <c r="R30" s="207">
        <f>Q$30/Q$14</f>
        <v>0.05</v>
      </c>
      <c r="S30" s="209"/>
      <c r="T30" s="256">
        <f>'Mark &amp; Communication marketing'!T25</f>
        <v>4577.3351666666667</v>
      </c>
      <c r="U30" s="207">
        <f>T$30/T$14</f>
        <v>4.9999999999999996E-2</v>
      </c>
      <c r="V30" s="209"/>
      <c r="W30" s="256">
        <f>'Mark &amp; Communication marketing'!W25</f>
        <v>4916.5877500000015</v>
      </c>
      <c r="X30" s="207">
        <f>W$30/W$14</f>
        <v>0.05</v>
      </c>
      <c r="Y30" s="209"/>
      <c r="Z30" s="256">
        <f>'Mark &amp; Communication marketing'!Z25</f>
        <v>4981.4830000000002</v>
      </c>
      <c r="AA30" s="207">
        <f>Z$30/Z$14</f>
        <v>0.05</v>
      </c>
      <c r="AB30" s="209"/>
      <c r="AC30" s="256">
        <f>'Mark &amp; Communication marketing'!AC25</f>
        <v>4555.0285000000003</v>
      </c>
      <c r="AD30" s="207">
        <f>AC$30/AC$14</f>
        <v>0.05</v>
      </c>
      <c r="AE30" s="209"/>
      <c r="AF30" s="256">
        <f>'Mark &amp; Communication marketing'!AF25</f>
        <v>4717.9315833333339</v>
      </c>
      <c r="AG30" s="207">
        <f>AF$30/AF$14</f>
        <v>4.9999999999999996E-2</v>
      </c>
      <c r="AH30" s="209"/>
      <c r="AI30" s="256">
        <f>'Mark &amp; Communication marketing'!AI25</f>
        <v>4385.3525833333333</v>
      </c>
      <c r="AJ30" s="207">
        <f>AI$30/AI$14</f>
        <v>0.05</v>
      </c>
      <c r="AK30" s="209"/>
      <c r="AL30" s="256">
        <f>'Mark &amp; Communication marketing'!AL25</f>
        <v>4873.5615000000007</v>
      </c>
      <c r="AM30" s="207">
        <f>AL$30/AL$14</f>
        <v>0.05</v>
      </c>
      <c r="AN30" s="209"/>
      <c r="AO30" s="209"/>
      <c r="AP30" s="219">
        <f t="shared" si="1"/>
        <v>52726.400958333346</v>
      </c>
      <c r="AQ30" s="194">
        <f>AP$30/AP$14</f>
        <v>5.0000000000000017E-2</v>
      </c>
      <c r="AS30" s="220">
        <v>0</v>
      </c>
      <c r="AT30" s="221">
        <f>AS$30/AS$14</f>
        <v>0</v>
      </c>
    </row>
    <row r="31" spans="3:52" x14ac:dyDescent="0.15">
      <c r="C31" s="684" t="s">
        <v>181</v>
      </c>
      <c r="E31" s="260">
        <f>'Services publics'!E23</f>
        <v>923.33333333333337</v>
      </c>
      <c r="F31" s="191">
        <f>E$31/E$14</f>
        <v>1.2650712458896601E-2</v>
      </c>
      <c r="H31" s="260">
        <f>'Services publics'!H23</f>
        <v>923.33333333333337</v>
      </c>
      <c r="I31" s="191">
        <f>H$31/H$14</f>
        <v>1.3051723934835616E-2</v>
      </c>
      <c r="J31" s="257">
        <v>1</v>
      </c>
      <c r="K31" s="260">
        <f>'Services publics'!K23</f>
        <v>923.33333333333337</v>
      </c>
      <c r="L31" s="191">
        <f>K$31/K$14</f>
        <v>1.1712597384750369E-2</v>
      </c>
      <c r="N31" s="260">
        <f>'Services publics'!N23</f>
        <v>923.33333333333337</v>
      </c>
      <c r="O31" s="191">
        <f>N$31/N$14</f>
        <v>1.1159722715538034E-2</v>
      </c>
      <c r="P31" s="192"/>
      <c r="Q31" s="260">
        <f>'Services publics'!Q23</f>
        <v>923.33333333333337</v>
      </c>
      <c r="R31" s="191">
        <f>Q$31/Q$14</f>
        <v>1.0365090673962893E-2</v>
      </c>
      <c r="T31" s="260">
        <f>'Services publics'!T23</f>
        <v>923.33333333333337</v>
      </c>
      <c r="U31" s="191">
        <f>T$31/T$14</f>
        <v>1.0085926633221928E-2</v>
      </c>
      <c r="W31" s="260">
        <f>'Services publics'!W23</f>
        <v>923.33333333333337</v>
      </c>
      <c r="X31" s="191">
        <f>W$31/W$14</f>
        <v>9.3899812256308581E-3</v>
      </c>
      <c r="Z31" s="260">
        <f>'Services publics'!Z23</f>
        <v>923.33333333333337</v>
      </c>
      <c r="AA31" s="191">
        <f>Z$31/Z$14</f>
        <v>9.2676551674805811E-3</v>
      </c>
      <c r="AC31" s="260">
        <f>'Services publics'!AC23</f>
        <v>923.33333333333337</v>
      </c>
      <c r="AD31" s="191">
        <f>AC$31/AC$14</f>
        <v>1.0135318948425167E-2</v>
      </c>
      <c r="AF31" s="260">
        <f>'Services publics'!AF23</f>
        <v>923.33333333333337</v>
      </c>
      <c r="AG31" s="191">
        <f>AF$31/AF$14</f>
        <v>9.7853616253690545E-3</v>
      </c>
      <c r="AI31" s="260">
        <f>'Services publics'!AI23</f>
        <v>923.33333333333337</v>
      </c>
      <c r="AJ31" s="191">
        <f>AI$31/AI$14</f>
        <v>1.0527469750579348E-2</v>
      </c>
      <c r="AL31" s="260">
        <f>'Services publics'!AL23</f>
        <v>923.33333333333337</v>
      </c>
      <c r="AM31" s="191">
        <f>AL$31/AL$14</f>
        <v>9.4728806985746802E-3</v>
      </c>
      <c r="AO31" s="209"/>
      <c r="AP31" s="219">
        <f t="shared" si="1"/>
        <v>11080.000000000002</v>
      </c>
      <c r="AQ31" s="194">
        <f>AP$31/AP$14</f>
        <v>1.0507070270883741E-2</v>
      </c>
      <c r="AS31" s="220">
        <v>0</v>
      </c>
      <c r="AT31" s="221">
        <f>AS$31/AS$14</f>
        <v>0</v>
      </c>
    </row>
    <row r="32" spans="3:52" x14ac:dyDescent="0.15">
      <c r="C32" s="684" t="s">
        <v>182</v>
      </c>
      <c r="E32" s="260">
        <f>'Administration &amp; Frais généraux'!E29</f>
        <v>2399.916666666667</v>
      </c>
      <c r="F32" s="191">
        <f>E$32/E$14</f>
        <v>3.2881576543660945E-2</v>
      </c>
      <c r="H32" s="260">
        <f>'Administration &amp; Frais généraux'!H29</f>
        <v>2343.854166666667</v>
      </c>
      <c r="I32" s="191">
        <f>H$32/H$14</f>
        <v>3.3131412483950386E-2</v>
      </c>
      <c r="J32" s="257">
        <v>1</v>
      </c>
      <c r="K32" s="260">
        <f>'Administration &amp; Frais généraux'!K29</f>
        <v>2546.0625</v>
      </c>
      <c r="L32" s="191">
        <f>K$32/K$14</f>
        <v>3.2297117305679766E-2</v>
      </c>
      <c r="N32" s="260">
        <f>'Administration &amp; Frais généraux'!N29</f>
        <v>2643.7004375000001</v>
      </c>
      <c r="O32" s="191">
        <f>N$32/N$14</f>
        <v>3.1952668403010746E-2</v>
      </c>
      <c r="P32" s="192"/>
      <c r="Q32" s="260">
        <f>'Administration &amp; Frais généraux'!Q29</f>
        <v>2802.2766666666666</v>
      </c>
      <c r="R32" s="191">
        <f>Q$32/Q$14</f>
        <v>3.1457601166278507E-2</v>
      </c>
      <c r="T32" s="260">
        <f>'Administration &amp; Frais généraux'!T29</f>
        <v>2863.9175833333334</v>
      </c>
      <c r="U32" s="191">
        <f>T$32/T$14</f>
        <v>3.1283677937647199E-2</v>
      </c>
      <c r="W32" s="260">
        <f>'Administration &amp; Frais généraux'!W29</f>
        <v>3033.5438750000008</v>
      </c>
      <c r="X32" s="191">
        <f>W$32/W$14</f>
        <v>3.0850093898964787E-2</v>
      </c>
      <c r="Z32" s="260">
        <f>'Administration &amp; Frais généraux'!Z29</f>
        <v>3065.9915000000001</v>
      </c>
      <c r="AA32" s="191">
        <f>Z$32/Z$14</f>
        <v>3.0773882998295889E-2</v>
      </c>
      <c r="AC32" s="260">
        <f>'Administration &amp; Frais généraux'!AC29</f>
        <v>2852.7642500000002</v>
      </c>
      <c r="AD32" s="191">
        <f>AC$32/AC$14</f>
        <v>3.1314450063265248E-2</v>
      </c>
      <c r="AF32" s="260">
        <f>'Administration &amp; Frais généraux'!AF29</f>
        <v>2934.215791666667</v>
      </c>
      <c r="AG32" s="191">
        <f>AF$32/AF$14</f>
        <v>3.1096421597465937E-2</v>
      </c>
      <c r="AI32" s="260">
        <f>'Administration &amp; Frais généraux'!AI29</f>
        <v>2767.9262916666667</v>
      </c>
      <c r="AJ32" s="191">
        <f>AI$32/AI$14</f>
        <v>3.1558765675834766E-2</v>
      </c>
      <c r="AL32" s="260">
        <f>'Administration &amp; Frais généraux'!AL29</f>
        <v>3012.0307500000004</v>
      </c>
      <c r="AM32" s="191">
        <f>AL$32/AL$14</f>
        <v>3.0901741467713087E-2</v>
      </c>
      <c r="AP32" s="219">
        <f t="shared" si="1"/>
        <v>33266.200479166662</v>
      </c>
      <c r="AQ32" s="194">
        <f>AP$32/AP$14</f>
        <v>3.154605650540708E-2</v>
      </c>
      <c r="AS32" s="220">
        <v>0</v>
      </c>
      <c r="AT32" s="221">
        <f>AS$32/AS$14</f>
        <v>0</v>
      </c>
    </row>
    <row r="33" spans="3:52" x14ac:dyDescent="0.15">
      <c r="C33" s="684" t="s">
        <v>183</v>
      </c>
      <c r="E33" s="260">
        <f>'Entretien &amp; Réparation'!E31</f>
        <v>1229.8666666666668</v>
      </c>
      <c r="F33" s="191">
        <f>E$33/E$14</f>
        <v>1.6850566313481915E-2</v>
      </c>
      <c r="H33" s="260">
        <f>'Entretien &amp; Réparation'!H31</f>
        <v>1207.4416666666666</v>
      </c>
      <c r="I33" s="191">
        <f>H$33/H$14</f>
        <v>1.7067720542329756E-2</v>
      </c>
      <c r="J33" s="257">
        <v>1</v>
      </c>
      <c r="K33" s="260">
        <f>'Entretien &amp; Réparation'!K31</f>
        <v>1288.325</v>
      </c>
      <c r="L33" s="191">
        <f>K$33/K$14</f>
        <v>1.6342561760695144E-2</v>
      </c>
      <c r="N33" s="260">
        <f>'Entretien &amp; Réparation'!N31</f>
        <v>1327.380175</v>
      </c>
      <c r="O33" s="191">
        <f>N$33/N$14</f>
        <v>1.6043171145598212E-2</v>
      </c>
      <c r="P33" s="192"/>
      <c r="Q33" s="260">
        <f>'Entretien &amp; Réparation'!Q31</f>
        <v>1390.8106666666667</v>
      </c>
      <c r="R33" s="191">
        <f>Q$33/Q$14</f>
        <v>1.5612864985900483E-2</v>
      </c>
      <c r="T33" s="260">
        <f>'Entretien &amp; Réparation'!T31</f>
        <v>1415.4670333333333</v>
      </c>
      <c r="U33" s="191">
        <f>T$33/T$14</f>
        <v>1.5461693122683353E-2</v>
      </c>
      <c r="W33" s="260">
        <f>'Entretien &amp; Réparation'!W31</f>
        <v>1483.3175500000002</v>
      </c>
      <c r="X33" s="191">
        <f>W$33/W$14</f>
        <v>1.5084827378500464E-2</v>
      </c>
      <c r="Z33" s="260">
        <f>'Entretien &amp; Réparation'!Z31</f>
        <v>1496.2966000000001</v>
      </c>
      <c r="AA33" s="191">
        <f>Z$33/Z$14</f>
        <v>1.5018585830765659E-2</v>
      </c>
      <c r="AC33" s="260">
        <f>'Entretien &amp; Réparation'!AC31</f>
        <v>1411.0057000000002</v>
      </c>
      <c r="AD33" s="191">
        <f>AC$33/AC$14</f>
        <v>1.5488439863768142E-2</v>
      </c>
      <c r="AF33" s="260">
        <f>'Entretien &amp; Réparation'!AF31</f>
        <v>1443.5863166666668</v>
      </c>
      <c r="AG33" s="191">
        <f>AF$33/AF$14</f>
        <v>1.5298932288105985E-2</v>
      </c>
      <c r="AI33" s="260">
        <f>'Entretien &amp; Réparation'!AI31</f>
        <v>1377.0705166666667</v>
      </c>
      <c r="AJ33" s="191">
        <f>AI$33/AI$14</f>
        <v>1.5700795893815532E-2</v>
      </c>
      <c r="AL33" s="260">
        <f>'Entretien &amp; Réparation'!AL31</f>
        <v>1474.7123000000001</v>
      </c>
      <c r="AM33" s="191">
        <f>AL$33/AL$14</f>
        <v>1.5129718789841885E-2</v>
      </c>
      <c r="AP33" s="219">
        <f t="shared" si="1"/>
        <v>16545.280191666665</v>
      </c>
      <c r="AQ33" s="194">
        <f>AP$33/AP$14</f>
        <v>1.5689749244160868E-2</v>
      </c>
      <c r="AS33" s="220">
        <v>0</v>
      </c>
      <c r="AT33" s="221">
        <f>AS$33/AS$14</f>
        <v>0</v>
      </c>
    </row>
    <row r="34" spans="3:52" x14ac:dyDescent="0.15">
      <c r="C34" s="240" t="s">
        <v>173</v>
      </c>
      <c r="D34" s="261"/>
      <c r="E34" s="242">
        <f>+(SUM(E27:E33))</f>
        <v>16648.650000000001</v>
      </c>
      <c r="F34" s="262">
        <f>E34/E14</f>
        <v>0.22810536170990137</v>
      </c>
      <c r="G34" s="263" t="s">
        <v>2</v>
      </c>
      <c r="H34" s="242">
        <f>+(SUM(H27:H33))</f>
        <v>16379.55</v>
      </c>
      <c r="I34" s="264">
        <f>H34/H14</f>
        <v>0.2315321640182347</v>
      </c>
      <c r="J34" s="265">
        <f>SUM(J27:J33)</f>
        <v>7</v>
      </c>
      <c r="K34" s="242">
        <f>+(SUM(K27:K33))</f>
        <v>17350.150000000001</v>
      </c>
      <c r="L34" s="262">
        <f>K34/K14</f>
        <v>0.22008879586464974</v>
      </c>
      <c r="M34" s="265">
        <f>SUM(M27:M33)</f>
        <v>0</v>
      </c>
      <c r="N34" s="242">
        <f>+(SUM(N27:N33))</f>
        <v>17818.812099999999</v>
      </c>
      <c r="O34" s="262">
        <f>N34/N14</f>
        <v>0.21536426226311259</v>
      </c>
      <c r="P34" s="266"/>
      <c r="Q34" s="242">
        <f>+(SUM(Q27:Q33))</f>
        <v>18579.977999999999</v>
      </c>
      <c r="R34" s="262">
        <f>Q34/Q14</f>
        <v>0.20857381591000257</v>
      </c>
      <c r="S34" s="261"/>
      <c r="T34" s="242">
        <f>+(SUM(T27:T33))</f>
        <v>18875.854400000004</v>
      </c>
      <c r="U34" s="262">
        <f>T34/T14</f>
        <v>0.20618824832250471</v>
      </c>
      <c r="V34" s="261"/>
      <c r="W34" s="242">
        <f>+(SUM(W27:W33))</f>
        <v>19690.060600000004</v>
      </c>
      <c r="X34" s="262">
        <f>W34/W14</f>
        <v>0.20024111844642659</v>
      </c>
      <c r="Y34" s="261"/>
      <c r="Z34" s="242">
        <f>+(SUM(Z27:Z33))</f>
        <v>19845.809200000003</v>
      </c>
      <c r="AA34" s="262">
        <f>Z34/Z14</f>
        <v>0.19919579370239748</v>
      </c>
      <c r="AB34" s="261"/>
      <c r="AC34" s="242">
        <f>+(SUM(AC27:AC33))</f>
        <v>18822.318400000004</v>
      </c>
      <c r="AD34" s="262">
        <f>AC34/AC14</f>
        <v>0.20661032527019318</v>
      </c>
      <c r="AE34" s="261"/>
      <c r="AF34" s="242">
        <f>+(SUM(AF27:AF33))</f>
        <v>19213.285800000005</v>
      </c>
      <c r="AG34" s="262">
        <f>AF34/AF14</f>
        <v>0.20361980097245655</v>
      </c>
      <c r="AH34" s="261"/>
      <c r="AI34" s="242">
        <f>+(SUM(AI27:AI33))</f>
        <v>18415.0962</v>
      </c>
      <c r="AJ34" s="262">
        <f>AI34/AI14</f>
        <v>0.20996140960235599</v>
      </c>
      <c r="AK34" s="261"/>
      <c r="AL34" s="242">
        <f>+(SUM(AL27:AL33))</f>
        <v>19586.797600000002</v>
      </c>
      <c r="AM34" s="262">
        <f>AL34/AL14</f>
        <v>0.20094952736309984</v>
      </c>
      <c r="AN34" s="261"/>
      <c r="AO34" s="261"/>
      <c r="AP34" s="250">
        <f t="shared" si="1"/>
        <v>221226.36230000004</v>
      </c>
      <c r="AQ34" s="267">
        <f>AP34/AP14</f>
        <v>0.20978708794748066</v>
      </c>
      <c r="AS34" s="252">
        <f>+AT34*AV14</f>
        <v>211556.27108999999</v>
      </c>
      <c r="AT34" s="268">
        <v>0.21299999999999999</v>
      </c>
    </row>
    <row r="35" spans="3:52" x14ac:dyDescent="0.15">
      <c r="C35" s="200"/>
      <c r="E35" s="218"/>
      <c r="F35" s="191"/>
      <c r="H35" s="218"/>
      <c r="I35" s="191"/>
      <c r="K35" s="218"/>
      <c r="L35" s="191"/>
      <c r="N35" s="218"/>
      <c r="O35" s="191"/>
      <c r="P35" s="192"/>
      <c r="Q35" s="218"/>
      <c r="R35" s="191"/>
      <c r="T35" s="218"/>
      <c r="U35" s="191"/>
      <c r="W35" s="218"/>
      <c r="X35" s="191"/>
      <c r="Z35" s="218"/>
      <c r="AA35" s="191"/>
      <c r="AC35" s="218"/>
      <c r="AD35" s="191"/>
      <c r="AF35" s="218"/>
      <c r="AG35" s="191"/>
      <c r="AI35" s="218"/>
      <c r="AJ35" s="191"/>
      <c r="AL35" s="218"/>
      <c r="AM35" s="191"/>
      <c r="AP35" s="219"/>
      <c r="AQ35" s="194"/>
      <c r="AS35" s="220"/>
      <c r="AT35" s="221"/>
    </row>
    <row r="36" spans="3:52" x14ac:dyDescent="0.15">
      <c r="C36" s="254" t="s">
        <v>159</v>
      </c>
      <c r="D36" s="210"/>
      <c r="E36" s="255">
        <f>E25-E34</f>
        <v>5985.7352454259017</v>
      </c>
      <c r="F36" s="211">
        <f>E$36/E$14</f>
        <v>8.2011352467472154E-2</v>
      </c>
      <c r="G36" s="210"/>
      <c r="H36" s="255">
        <f>H25-H34</f>
        <v>5455.2414760680294</v>
      </c>
      <c r="I36" s="211">
        <f>H$36/H$14</f>
        <v>7.7112244487550621E-2</v>
      </c>
      <c r="J36" s="210"/>
      <c r="K36" s="255">
        <f>K25-K34</f>
        <v>7368.6463535810835</v>
      </c>
      <c r="L36" s="211">
        <f>K$36/K$14</f>
        <v>9.3472189180618184E-2</v>
      </c>
      <c r="M36" s="210"/>
      <c r="N36" s="255">
        <f>N25-N34</f>
        <v>8292.5494527419178</v>
      </c>
      <c r="O36" s="211">
        <f>N$36/N$14</f>
        <v>0.10022659115251242</v>
      </c>
      <c r="P36" s="212"/>
      <c r="Q36" s="255">
        <f>Q25-Q34</f>
        <v>9793.0837054274998</v>
      </c>
      <c r="R36" s="211">
        <f>Q$36/Q$14</f>
        <v>0.10993451326837315</v>
      </c>
      <c r="S36" s="210"/>
      <c r="T36" s="255">
        <f>T25-T34</f>
        <v>10376.36347763129</v>
      </c>
      <c r="U36" s="211">
        <f>T$36/T$14</f>
        <v>0.1133450260884831</v>
      </c>
      <c r="V36" s="213"/>
      <c r="W36" s="255">
        <f>W25-W34</f>
        <v>11981.459412497738</v>
      </c>
      <c r="X36" s="211">
        <f>W$36/W$14</f>
        <v>0.12184730571012116</v>
      </c>
      <c r="Y36" s="213"/>
      <c r="Z36" s="255">
        <f>Z25-Z34</f>
        <v>12288.496431770182</v>
      </c>
      <c r="AA36" s="211">
        <f>Z$36/Z$14</f>
        <v>0.12334174814779235</v>
      </c>
      <c r="AB36" s="213"/>
      <c r="AC36" s="255">
        <f>AC25-AC34</f>
        <v>10270.824590837008</v>
      </c>
      <c r="AD36" s="211">
        <f>AC$36/AC$14</f>
        <v>0.11274160623623987</v>
      </c>
      <c r="AE36" s="213"/>
      <c r="AF36" s="255">
        <f>AF25-AF34</f>
        <v>11041.563237147122</v>
      </c>
      <c r="AG36" s="211">
        <f>AF$36/AF$14</f>
        <v>0.11701699189696586</v>
      </c>
      <c r="AH36" s="213"/>
      <c r="AI36" s="255">
        <f>AI25-AI34</f>
        <v>9468.0418340766555</v>
      </c>
      <c r="AJ36" s="211">
        <f>AI$36/AI$14</f>
        <v>0.10795074802035574</v>
      </c>
      <c r="AK36" s="213"/>
      <c r="AL36" s="255">
        <f>AL25-AL34</f>
        <v>11777.890560378819</v>
      </c>
      <c r="AM36" s="211">
        <f>AL$36/AL$14</f>
        <v>0.12083453302455317</v>
      </c>
      <c r="AN36" s="213"/>
      <c r="AO36" s="213"/>
      <c r="AP36" s="255">
        <f>+$AL36+$AI36+$AF36+$AC36+$Z36+$W36+$T36+$Q36+$N36+$K36+$H36+$E36</f>
        <v>114099.89577758327</v>
      </c>
      <c r="AQ36" s="211">
        <f>AP$36/AP$14</f>
        <v>0.10819996595988973</v>
      </c>
      <c r="AR36" s="213"/>
      <c r="AS36" s="215">
        <f>+AS25-AS34</f>
        <v>104288.30265000014</v>
      </c>
      <c r="AT36" s="216">
        <f>AS$36/AS$14</f>
        <v>0.10500000000000012</v>
      </c>
      <c r="AU36" s="210"/>
      <c r="AV36" s="210"/>
      <c r="AW36" s="210"/>
      <c r="AX36" s="210"/>
      <c r="AY36" s="210"/>
      <c r="AZ36" s="210"/>
    </row>
    <row r="37" spans="3:52" x14ac:dyDescent="0.15">
      <c r="C37" s="200"/>
      <c r="E37" s="218"/>
      <c r="F37" s="191"/>
      <c r="H37" s="218"/>
      <c r="I37" s="191"/>
      <c r="K37" s="218"/>
      <c r="L37" s="191"/>
      <c r="N37" s="218"/>
      <c r="O37" s="191"/>
      <c r="P37" s="192"/>
      <c r="Q37" s="218"/>
      <c r="R37" s="191"/>
      <c r="T37" s="218"/>
      <c r="U37" s="191"/>
      <c r="W37" s="218"/>
      <c r="X37" s="191"/>
      <c r="Z37" s="218"/>
      <c r="AA37" s="191"/>
      <c r="AC37" s="218"/>
      <c r="AD37" s="191"/>
      <c r="AF37" s="218"/>
      <c r="AG37" s="191"/>
      <c r="AI37" s="218"/>
      <c r="AJ37" s="191"/>
      <c r="AL37" s="218"/>
      <c r="AM37" s="191"/>
      <c r="AP37" s="219"/>
      <c r="AQ37" s="194"/>
      <c r="AS37" s="220"/>
      <c r="AT37" s="221"/>
    </row>
    <row r="38" spans="3:52" x14ac:dyDescent="0.15">
      <c r="C38" s="684" t="s">
        <v>184</v>
      </c>
      <c r="E38" s="260">
        <f>'Frais financier'!E24</f>
        <v>818.75</v>
      </c>
      <c r="F38" s="191">
        <f>E$38/E$14</f>
        <v>1.1217802338326635E-2</v>
      </c>
      <c r="H38" s="260">
        <f>'Frais financier'!H24</f>
        <v>818.75</v>
      </c>
      <c r="I38" s="191">
        <f>H$38/H$14</f>
        <v>1.1573392388064974E-2</v>
      </c>
      <c r="K38" s="260">
        <f>'Frais financier'!K24</f>
        <v>818.75</v>
      </c>
      <c r="L38" s="191">
        <f>K$38/K$14</f>
        <v>1.03859448831383E-2</v>
      </c>
      <c r="N38" s="260">
        <f>'Frais financier'!N24</f>
        <v>818.75</v>
      </c>
      <c r="O38" s="191">
        <f>N$38/N$14</f>
        <v>9.8956927509170744E-3</v>
      </c>
      <c r="P38" s="192"/>
      <c r="Q38" s="260">
        <f>'Frais financier'!Q24</f>
        <v>818.75</v>
      </c>
      <c r="R38" s="191">
        <f>Q$38/Q$14</f>
        <v>9.1910664144120406E-3</v>
      </c>
      <c r="T38" s="260">
        <f>'Frais financier'!T24</f>
        <v>818.75</v>
      </c>
      <c r="U38" s="191">
        <f>T$38/T$14</f>
        <v>8.9435224883939925E-3</v>
      </c>
      <c r="W38" s="260">
        <f>'Frais financier'!W24</f>
        <v>818.75</v>
      </c>
      <c r="X38" s="191">
        <f>W$38/W$14</f>
        <v>8.3264048322945101E-3</v>
      </c>
      <c r="Z38" s="260">
        <f>'Frais financier'!Z24</f>
        <v>818.75</v>
      </c>
      <c r="AA38" s="191">
        <f>Z$38/Z$14</f>
        <v>8.2179342978787647E-3</v>
      </c>
      <c r="AC38" s="260">
        <f>'Frais financier'!AC24</f>
        <v>818.75</v>
      </c>
      <c r="AD38" s="191">
        <f>AC$38/AC$14</f>
        <v>8.9873202769203304E-3</v>
      </c>
      <c r="AF38" s="260">
        <f>'Frais financier'!AF24</f>
        <v>818.75</v>
      </c>
      <c r="AG38" s="191">
        <f>AF$38/AF$14</f>
        <v>8.6770016217735512E-3</v>
      </c>
      <c r="AI38" s="260">
        <f>'Frais financier'!AI24</f>
        <v>818.75</v>
      </c>
      <c r="AJ38" s="191">
        <f>AI$38/AI$14</f>
        <v>9.335053276122933E-3</v>
      </c>
      <c r="AL38" s="260">
        <f>'Frais financier'!AL24</f>
        <v>818.75</v>
      </c>
      <c r="AM38" s="191">
        <f>AL$38/AL$14</f>
        <v>8.3999145183660858E-3</v>
      </c>
      <c r="AP38" s="219">
        <f>+$AL38+$AI38+$AF38+$AC38+$Z38+$W38+$T38+$Q38+$N38+$K38+$H38+$E38</f>
        <v>9825</v>
      </c>
      <c r="AQ38" s="194">
        <f>AP$38/AP$14</f>
        <v>9.3169643873134231E-3</v>
      </c>
      <c r="AS38" s="269">
        <f>+AT38*AV14</f>
        <v>19864.438600000001</v>
      </c>
      <c r="AT38" s="205">
        <v>0.02</v>
      </c>
    </row>
    <row r="39" spans="3:52" x14ac:dyDescent="0.15">
      <c r="C39" s="684" t="s">
        <v>185</v>
      </c>
      <c r="E39" s="260">
        <f>Amortissement!E24</f>
        <v>1550</v>
      </c>
      <c r="F39" s="191">
        <f>E39/E$14</f>
        <v>2.1236755571793935E-2</v>
      </c>
      <c r="H39" s="260">
        <f>Amortissement!H24</f>
        <v>1550</v>
      </c>
      <c r="I39" s="191">
        <f>H39/H$14</f>
        <v>2.1909933681222241E-2</v>
      </c>
      <c r="J39" s="257">
        <v>1</v>
      </c>
      <c r="K39" s="260">
        <f>Amortissement!K24</f>
        <v>1550</v>
      </c>
      <c r="L39" s="191">
        <f>K39/K$14</f>
        <v>1.966194145815495E-2</v>
      </c>
      <c r="N39" s="260">
        <f>Amortissement!N24</f>
        <v>1550</v>
      </c>
      <c r="O39" s="191">
        <f>N39/N$14</f>
        <v>1.8733830551354459E-2</v>
      </c>
      <c r="P39" s="192"/>
      <c r="Q39" s="260">
        <f>Amortissement!Q24</f>
        <v>1550</v>
      </c>
      <c r="R39" s="191">
        <f>Q39/Q$14</f>
        <v>1.7399881456291497E-2</v>
      </c>
      <c r="T39" s="260">
        <f>Amortissement!T24</f>
        <v>1550</v>
      </c>
      <c r="U39" s="191">
        <f>T39/T$14</f>
        <v>1.6931248680318398E-2</v>
      </c>
      <c r="W39" s="260">
        <f>Amortissement!W24</f>
        <v>1550</v>
      </c>
      <c r="X39" s="191">
        <f>W39/W$14</f>
        <v>1.5762964873351437E-2</v>
      </c>
      <c r="Z39" s="260">
        <f>Amortissement!Z24</f>
        <v>1550</v>
      </c>
      <c r="AA39" s="191">
        <f>Z39/Z$14</f>
        <v>1.5557616075373537E-2</v>
      </c>
      <c r="AC39" s="260">
        <f>Amortissement!AC24</f>
        <v>1550</v>
      </c>
      <c r="AD39" s="191">
        <f>AC39/AC$14</f>
        <v>1.7014163577681235E-2</v>
      </c>
      <c r="AF39" s="260">
        <f>Amortissement!AF24</f>
        <v>1550</v>
      </c>
      <c r="AG39" s="191">
        <f>AF39/AF$14</f>
        <v>1.6426690093128554E-2</v>
      </c>
      <c r="AI39" s="260">
        <f>Amortissement!AI24</f>
        <v>1550</v>
      </c>
      <c r="AJ39" s="191">
        <f>AI39/AI$14</f>
        <v>1.7672467270828149E-2</v>
      </c>
      <c r="AL39" s="260">
        <f>Amortissement!AL24</f>
        <v>1550</v>
      </c>
      <c r="AM39" s="191">
        <f>AL39/AL$14</f>
        <v>1.5902128248509839E-2</v>
      </c>
      <c r="AP39" s="219">
        <f t="shared" ref="AP39" si="2">+$AL39+$AI39+$AF39+$AC39+$Z39+$W39+$T39+$Q39+$N39+$K39+$H39+$E39</f>
        <v>18600</v>
      </c>
      <c r="AQ39" s="194">
        <f>AP39/AP$14</f>
        <v>1.7638222656898697E-2</v>
      </c>
      <c r="AS39" s="269">
        <f>+AT39*AV14</f>
        <v>28803.435970000002</v>
      </c>
      <c r="AT39" s="205">
        <v>2.9000000000000001E-2</v>
      </c>
    </row>
    <row r="40" spans="3:52" x14ac:dyDescent="0.15">
      <c r="C40" s="200"/>
      <c r="E40" s="218"/>
      <c r="F40" s="191"/>
      <c r="H40" s="218"/>
      <c r="I40" s="191"/>
      <c r="K40" s="218"/>
      <c r="L40" s="191"/>
      <c r="N40" s="218"/>
      <c r="O40" s="191"/>
      <c r="P40" s="192"/>
      <c r="Q40" s="218"/>
      <c r="R40" s="191"/>
      <c r="T40" s="218"/>
      <c r="U40" s="191"/>
      <c r="W40" s="218"/>
      <c r="X40" s="191"/>
      <c r="Z40" s="218"/>
      <c r="AA40" s="191"/>
      <c r="AC40" s="218"/>
      <c r="AD40" s="191"/>
      <c r="AF40" s="218"/>
      <c r="AG40" s="191"/>
      <c r="AI40" s="218"/>
      <c r="AJ40" s="191"/>
      <c r="AL40" s="218"/>
      <c r="AM40" s="191"/>
      <c r="AP40" s="219"/>
      <c r="AQ40" s="194"/>
      <c r="AS40" s="220"/>
      <c r="AT40" s="221"/>
    </row>
    <row r="41" spans="3:52" x14ac:dyDescent="0.15">
      <c r="C41" s="254" t="s">
        <v>160</v>
      </c>
      <c r="D41" s="270"/>
      <c r="E41" s="255">
        <f>E36-(E38+E39)</f>
        <v>3616.9852454259017</v>
      </c>
      <c r="F41" s="211">
        <f>E$41/E$14</f>
        <v>4.955679455735159E-2</v>
      </c>
      <c r="G41" s="212"/>
      <c r="H41" s="255">
        <f>H36-(H38+H39)</f>
        <v>3086.4914760680294</v>
      </c>
      <c r="I41" s="211">
        <f>H$41/H$14</f>
        <v>4.3628918418263406E-2</v>
      </c>
      <c r="J41" s="210"/>
      <c r="K41" s="255">
        <f>K36-(K38+K39)</f>
        <v>4999.8963535810835</v>
      </c>
      <c r="L41" s="211">
        <f>K$41/K$14</f>
        <v>6.3424302839324945E-2</v>
      </c>
      <c r="M41" s="210"/>
      <c r="N41" s="255">
        <f>N36-(N38+N39)</f>
        <v>5923.7994527419178</v>
      </c>
      <c r="O41" s="211">
        <f>N$41/N$14</f>
        <v>7.1597067850240878E-2</v>
      </c>
      <c r="P41" s="271"/>
      <c r="Q41" s="255">
        <f>Q36-(Q38+Q39)</f>
        <v>7424.3337054274998</v>
      </c>
      <c r="R41" s="211">
        <f>Q$41/Q$14</f>
        <v>8.3343565397669614E-2</v>
      </c>
      <c r="S41" s="213"/>
      <c r="T41" s="255">
        <f>T36-(T38+T39)</f>
        <v>8007.6134776312902</v>
      </c>
      <c r="U41" s="211">
        <f>T$41/T$14</f>
        <v>8.7470254919770715E-2</v>
      </c>
      <c r="V41" s="213"/>
      <c r="W41" s="255">
        <f>W36-(W38+W39)</f>
        <v>9612.7094124977375</v>
      </c>
      <c r="X41" s="211">
        <f>W$41/W$14</f>
        <v>9.7757936004475215E-2</v>
      </c>
      <c r="Y41" s="213"/>
      <c r="Z41" s="255">
        <f>Z36-(Z38+Z39)</f>
        <v>9919.7464317701815</v>
      </c>
      <c r="AA41" s="211">
        <f>Z$41/Z$14</f>
        <v>9.9566197774540038E-2</v>
      </c>
      <c r="AB41" s="213"/>
      <c r="AC41" s="255">
        <f>AC36-(AC38+AC39)</f>
        <v>7902.0745908370081</v>
      </c>
      <c r="AD41" s="211">
        <f>AC$41/AC$14</f>
        <v>8.6740122381638307E-2</v>
      </c>
      <c r="AE41" s="213"/>
      <c r="AF41" s="255">
        <f>AF36-(AF38+AF39)</f>
        <v>8672.813237147122</v>
      </c>
      <c r="AG41" s="211">
        <f>AF$41/AF$14</f>
        <v>9.1913300182063756E-2</v>
      </c>
      <c r="AH41" s="213"/>
      <c r="AI41" s="255">
        <f>AI36-(AI38+AI39)</f>
        <v>7099.2918340766555</v>
      </c>
      <c r="AJ41" s="211">
        <f>AI$41/AI$14</f>
        <v>8.0943227473404669E-2</v>
      </c>
      <c r="AK41" s="213"/>
      <c r="AL41" s="255">
        <f>AL36-(AL38+AL39)</f>
        <v>9409.1405603788189</v>
      </c>
      <c r="AM41" s="211">
        <f>AL$41/AL$14</f>
        <v>9.6532490257677239E-2</v>
      </c>
      <c r="AN41" s="213"/>
      <c r="AO41" s="213"/>
      <c r="AP41" s="214">
        <f>+$AL41+$AI41+$AF41+$AC41+$Z41+$W41+$T41+$Q41+$N41+$K41+$H41+$E41</f>
        <v>85674.895777583268</v>
      </c>
      <c r="AQ41" s="211">
        <f>AP$41/AP$14</f>
        <v>8.1244778915677607E-2</v>
      </c>
      <c r="AR41" s="213"/>
      <c r="AS41" s="215">
        <f>+AS36-(AS38+AS39)</f>
        <v>55620.428080000143</v>
      </c>
      <c r="AT41" s="216">
        <f>AS$41/AS$14</f>
        <v>5.6000000000000133E-2</v>
      </c>
      <c r="AU41" s="210"/>
      <c r="AV41" s="210">
        <v>2.8</v>
      </c>
      <c r="AW41" s="210"/>
      <c r="AX41" s="210"/>
      <c r="AY41" s="210"/>
      <c r="AZ41" s="210"/>
    </row>
    <row r="42" spans="3:52" x14ac:dyDescent="0.15">
      <c r="C42" s="200"/>
      <c r="E42" s="218"/>
      <c r="F42" s="191"/>
      <c r="H42" s="218"/>
      <c r="I42" s="191"/>
      <c r="K42" s="218"/>
      <c r="L42" s="191"/>
      <c r="N42" s="218"/>
      <c r="O42" s="191"/>
      <c r="P42" s="192"/>
      <c r="Q42" s="218"/>
      <c r="R42" s="191"/>
      <c r="T42" s="218"/>
      <c r="U42" s="191"/>
      <c r="W42" s="218"/>
      <c r="X42" s="191"/>
      <c r="Z42" s="218"/>
      <c r="AA42" s="191"/>
      <c r="AC42" s="218"/>
      <c r="AD42" s="191"/>
      <c r="AF42" s="218"/>
      <c r="AG42" s="191"/>
      <c r="AI42" s="218"/>
      <c r="AJ42" s="191"/>
      <c r="AL42" s="218"/>
      <c r="AM42" s="191"/>
      <c r="AP42" s="219"/>
      <c r="AQ42" s="194"/>
      <c r="AS42" s="220"/>
      <c r="AT42" s="221"/>
    </row>
    <row r="43" spans="3:52" x14ac:dyDescent="0.15">
      <c r="C43" s="550" t="s">
        <v>186</v>
      </c>
      <c r="E43" s="218">
        <f>+$F$47*E41</f>
        <v>651.05734417666224</v>
      </c>
      <c r="F43" s="191">
        <f>E$43/E$14</f>
        <v>8.9202230203232862E-3</v>
      </c>
      <c r="H43" s="218">
        <f>+$F$47*H41</f>
        <v>555.56846569224524</v>
      </c>
      <c r="I43" s="191">
        <f>H$43/H$14</f>
        <v>7.853205315287411E-3</v>
      </c>
      <c r="K43" s="218">
        <f>+$F$47*K41</f>
        <v>899.98134364459497</v>
      </c>
      <c r="L43" s="191">
        <f>K$43/K$14</f>
        <v>1.1416374511078489E-2</v>
      </c>
      <c r="N43" s="218">
        <f>+$F$47*N41</f>
        <v>1066.2839014935453</v>
      </c>
      <c r="O43" s="191">
        <f>N$43/N$14</f>
        <v>1.288747221304336E-2</v>
      </c>
      <c r="P43" s="192"/>
      <c r="Q43" s="218">
        <f>+$F$47*Q41</f>
        <v>1336.3800669769498</v>
      </c>
      <c r="R43" s="191">
        <f>Q$43/Q$14</f>
        <v>1.5001841771580529E-2</v>
      </c>
      <c r="T43" s="218">
        <f>+$F$47*T41</f>
        <v>1441.3704259736321</v>
      </c>
      <c r="U43" s="191">
        <f>T$43/T$14</f>
        <v>1.5744645885558725E-2</v>
      </c>
      <c r="W43" s="218">
        <f>+$F$47*W41</f>
        <v>1730.2876942495927</v>
      </c>
      <c r="X43" s="191">
        <f>W$43/W$14</f>
        <v>1.7596428480805539E-2</v>
      </c>
      <c r="Z43" s="218">
        <f>+$F$47*Z41</f>
        <v>1785.5543577186327</v>
      </c>
      <c r="AA43" s="191">
        <f>Z$43/Z$14</f>
        <v>1.7921915599417207E-2</v>
      </c>
      <c r="AC43" s="218">
        <f>+$F$47*AC41</f>
        <v>1422.3734263506615</v>
      </c>
      <c r="AD43" s="191">
        <f>AC$43/AC$14</f>
        <v>1.5613222028694897E-2</v>
      </c>
      <c r="AF43" s="218">
        <f>+$F$47*AF41</f>
        <v>1561.106382686482</v>
      </c>
      <c r="AG43" s="191">
        <f>AF$43/AF$14</f>
        <v>1.6544394032771477E-2</v>
      </c>
      <c r="AI43" s="218">
        <f>+$F$47*AI41</f>
        <v>1277.8725301337979</v>
      </c>
      <c r="AJ43" s="191">
        <f>AI$43/AI$14</f>
        <v>1.4569780945212838E-2</v>
      </c>
      <c r="AL43" s="218">
        <f>+$F$47*AL41</f>
        <v>1693.6453008681874</v>
      </c>
      <c r="AM43" s="191">
        <f>AL$43/AL$14</f>
        <v>1.7375848246381904E-2</v>
      </c>
      <c r="AP43" s="219">
        <f>+$AL43+$AI43+$AF43+$AC43+$Z43+$W43+$T43+$Q43+$N43+$K43+$H43+$E43</f>
        <v>15421.481239964984</v>
      </c>
      <c r="AQ43" s="194">
        <f>AP$43/AP$14</f>
        <v>1.4624060204821966E-2</v>
      </c>
      <c r="AS43" s="269">
        <f>+$F$47*AS41</f>
        <v>10011.677054400025</v>
      </c>
      <c r="AT43" s="221">
        <f>AS$43/AS$14</f>
        <v>1.0080000000000023E-2</v>
      </c>
    </row>
    <row r="44" spans="3:52" ht="14" thickBot="1" x14ac:dyDescent="0.2">
      <c r="C44" s="200"/>
      <c r="E44" s="218"/>
      <c r="F44" s="191"/>
      <c r="H44" s="218"/>
      <c r="I44" s="191"/>
      <c r="K44" s="218"/>
      <c r="L44" s="191"/>
      <c r="N44" s="218"/>
      <c r="O44" s="191"/>
      <c r="P44" s="192"/>
      <c r="Q44" s="218"/>
      <c r="R44" s="191"/>
      <c r="T44" s="218"/>
      <c r="U44" s="191"/>
      <c r="W44" s="218"/>
      <c r="X44" s="191"/>
      <c r="Z44" s="218"/>
      <c r="AA44" s="191"/>
      <c r="AC44" s="218"/>
      <c r="AD44" s="191"/>
      <c r="AF44" s="218"/>
      <c r="AG44" s="191"/>
      <c r="AI44" s="218"/>
      <c r="AJ44" s="191"/>
      <c r="AL44" s="218"/>
      <c r="AM44" s="191"/>
      <c r="AP44" s="272"/>
      <c r="AQ44" s="238"/>
      <c r="AS44" s="273"/>
      <c r="AT44" s="239"/>
    </row>
    <row r="45" spans="3:52" ht="14" thickBot="1" x14ac:dyDescent="0.2">
      <c r="C45" s="274" t="s">
        <v>161</v>
      </c>
      <c r="D45" s="210"/>
      <c r="E45" s="275">
        <f>E41-E43</f>
        <v>2965.9279012492393</v>
      </c>
      <c r="F45" s="276">
        <f>E$45/E$14</f>
        <v>4.06365715370283E-2</v>
      </c>
      <c r="G45" s="212"/>
      <c r="H45" s="275">
        <f>H41-H43</f>
        <v>2530.9230103757841</v>
      </c>
      <c r="I45" s="276">
        <f>H$45/H$14</f>
        <v>3.5775713102975989E-2</v>
      </c>
      <c r="J45" s="210"/>
      <c r="K45" s="275">
        <f>K41-K43</f>
        <v>4099.9150099364888</v>
      </c>
      <c r="L45" s="276">
        <f>K$45/K$14</f>
        <v>5.200792832824646E-2</v>
      </c>
      <c r="M45" s="210"/>
      <c r="N45" s="275">
        <f>N41-N43</f>
        <v>4857.5155512483725</v>
      </c>
      <c r="O45" s="276">
        <f>N$45/N$14</f>
        <v>5.8709595637197527E-2</v>
      </c>
      <c r="P45" s="271"/>
      <c r="Q45" s="275">
        <f>Q41-Q43</f>
        <v>6087.95363845055</v>
      </c>
      <c r="R45" s="276">
        <f>Q$45/Q$14</f>
        <v>6.834172362608909E-2</v>
      </c>
      <c r="S45" s="213"/>
      <c r="T45" s="275">
        <f>T41-T43</f>
        <v>6566.2430516576578</v>
      </c>
      <c r="U45" s="276">
        <f>T$45/T$14</f>
        <v>7.1725609034211976E-2</v>
      </c>
      <c r="V45" s="213"/>
      <c r="W45" s="275">
        <f>W41-W43</f>
        <v>7882.4217182481443</v>
      </c>
      <c r="X45" s="276">
        <f>W$45/W$14</f>
        <v>8.016150752366967E-2</v>
      </c>
      <c r="Y45" s="213"/>
      <c r="Z45" s="275">
        <f>Z41-Z43</f>
        <v>8134.1920740515488</v>
      </c>
      <c r="AA45" s="276">
        <f>Z$45/Z$14</f>
        <v>8.1644282175122831E-2</v>
      </c>
      <c r="AB45" s="213"/>
      <c r="AC45" s="275">
        <f>AC41-AC43</f>
        <v>6479.7011644863469</v>
      </c>
      <c r="AD45" s="276">
        <f>AC$45/AC$14</f>
        <v>7.1126900352943417E-2</v>
      </c>
      <c r="AE45" s="213"/>
      <c r="AF45" s="275">
        <f>AF41-AF43</f>
        <v>7111.70685446064</v>
      </c>
      <c r="AG45" s="276">
        <f>AF$45/AF$14</f>
        <v>7.5368906149292286E-2</v>
      </c>
      <c r="AH45" s="213"/>
      <c r="AI45" s="275">
        <f>AI41-AI43</f>
        <v>5821.4193039428574</v>
      </c>
      <c r="AJ45" s="276">
        <f>AI$45/AI$14</f>
        <v>6.6373446528191826E-2</v>
      </c>
      <c r="AK45" s="213"/>
      <c r="AL45" s="275">
        <f>AL41-AL43</f>
        <v>7715.4952595106315</v>
      </c>
      <c r="AM45" s="276">
        <f>AL$45/AL$14</f>
        <v>7.9156642011295339E-2</v>
      </c>
      <c r="AN45" s="213"/>
      <c r="AO45" s="213"/>
      <c r="AP45" s="277">
        <f>+$AL45+$AI45+$AF45+$AC45+$Z45+$W45+$T45+$Q45+$N45+$K45+$H45+$E45</f>
        <v>70253.414537618257</v>
      </c>
      <c r="AQ45" s="276">
        <f>AP$45/AP$14</f>
        <v>6.662071871085562E-2</v>
      </c>
      <c r="AR45" s="213"/>
      <c r="AS45" s="278">
        <f>+AS41-AS43</f>
        <v>45608.751025600119</v>
      </c>
      <c r="AT45" s="279">
        <f>AS$45/AS$14</f>
        <v>4.5920000000000114E-2</v>
      </c>
      <c r="AU45" s="210"/>
      <c r="AV45" s="210"/>
      <c r="AW45" s="210"/>
      <c r="AX45" s="210"/>
      <c r="AY45" s="210"/>
      <c r="AZ45" s="210"/>
    </row>
    <row r="46" spans="3:52" ht="15" thickTop="1" thickBot="1" x14ac:dyDescent="0.2">
      <c r="P46" s="192"/>
    </row>
    <row r="47" spans="3:52" ht="15" thickTop="1" thickBot="1" x14ac:dyDescent="0.2">
      <c r="E47" s="280" t="s">
        <v>162</v>
      </c>
      <c r="F47" s="281">
        <v>0.18</v>
      </c>
      <c r="AP47" s="202" t="s">
        <v>2</v>
      </c>
    </row>
    <row r="48" spans="3:52" ht="14" thickTop="1" x14ac:dyDescent="0.15"/>
  </sheetData>
  <sheetProtection algorithmName="SHA-512" hashValue="tnWXVaqPtEzAC9dpZn5kAR7TMuHrrq8QlPldTN2xsi7ZWZ8uZtSWiF6Rh1+jfl9d2K3X/BplafHHXfqhxdR7Dg==" saltValue="cGFDR8XJmzQOXt9MXrSPJw==" spinCount="100000" sheet="1" objects="1" scenarios="1"/>
  <mergeCells count="4">
    <mergeCell ref="AY6:AZ9"/>
    <mergeCell ref="BB2:BB8"/>
    <mergeCell ref="BL2:BL8"/>
    <mergeCell ref="AS2:AT4"/>
  </mergeCells>
  <hyperlinks>
    <hyperlink ref="C27" r:id="rId1" xr:uid="{2914635A-271E-094D-862E-D8249384B481}"/>
    <hyperlink ref="C28" r:id="rId2" xr:uid="{4876D9AA-10EB-6D4E-B300-826D2FBE612D}"/>
    <hyperlink ref="C29" r:id="rId3" xr:uid="{7A2778BE-4896-D643-8DD1-CA226F39D227}"/>
    <hyperlink ref="C30" r:id="rId4" xr:uid="{2282448E-35AF-624C-813A-BA72D4E47573}"/>
    <hyperlink ref="C31" r:id="rId5" xr:uid="{1CAAE406-BCBA-AE42-8D1F-E68DA62CEE12}"/>
    <hyperlink ref="C32" r:id="rId6" xr:uid="{AFD3DB87-2A89-F34B-B986-60791F1A16E5}"/>
    <hyperlink ref="C33" r:id="rId7" xr:uid="{6C6A8BC7-218B-F742-93C5-2BD4EC558DEF}"/>
    <hyperlink ref="C38" r:id="rId8" xr:uid="{5726F8F8-B897-1D4A-96A9-3058B0A1D6DC}"/>
    <hyperlink ref="C39" r:id="rId9" xr:uid="{1934515C-121C-A44D-BBB2-7A809AE1F00C}"/>
  </hyperlinks>
  <pageMargins left="0.75000000000000011" right="0.75000000000000011" top="1" bottom="1" header="0.49" footer="0.49"/>
  <pageSetup paperSize="5" scale="40" orientation="landscape"/>
  <headerFooter>
    <oddFooter>&amp;C&amp;K000000Budget et indicateurs de performance (430-763-Me)</oddFooter>
  </headerFooter>
  <ignoredErrors>
    <ignoredError sqref="AS7"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0992D-994B-954B-A05F-9788B3E910FC}">
  <sheetPr>
    <tabColor indexed="46"/>
  </sheetPr>
  <dimension ref="B1:AZ77"/>
  <sheetViews>
    <sheetView zoomScale="150" zoomScaleNormal="150" zoomScalePageLayoutView="150" workbookViewId="0">
      <pane xSplit="3" ySplit="9" topLeftCell="H32" activePane="bottomRight" state="frozen"/>
      <selection pane="topRight" activeCell="C1" sqref="C1"/>
      <selection pane="bottomLeft" activeCell="A10" sqref="A10"/>
      <selection pane="bottomRight" activeCell="J38" sqref="J38"/>
    </sheetView>
  </sheetViews>
  <sheetFormatPr baseColWidth="10" defaultRowHeight="13" x14ac:dyDescent="0.15"/>
  <cols>
    <col min="1" max="1" width="3.6640625" customWidth="1"/>
    <col min="2" max="2" width="1.5" customWidth="1"/>
    <col min="3" max="3" width="49.83203125" customWidth="1"/>
    <col min="4" max="4" width="2.33203125" customWidth="1"/>
    <col min="5" max="5" width="14.6640625" customWidth="1"/>
    <col min="6" max="6" width="9.1640625" customWidth="1"/>
    <col min="7" max="7" width="2.5" customWidth="1"/>
    <col min="8" max="8" width="49.83203125" customWidth="1"/>
    <col min="9" max="9" width="2.1640625" customWidth="1"/>
    <col min="10" max="10" width="14.6640625" customWidth="1"/>
    <col min="11" max="11" width="11.1640625" bestFit="1" customWidth="1"/>
    <col min="12" max="12" width="2.5" customWidth="1"/>
    <col min="13" max="13" width="0.83203125" customWidth="1"/>
    <col min="14" max="14" width="10.5" customWidth="1"/>
    <col min="15" max="15" width="9.1640625" customWidth="1"/>
    <col min="16" max="16" width="0.83203125" customWidth="1"/>
    <col min="17" max="17" width="14.6640625" customWidth="1"/>
    <col min="18" max="18" width="9.1640625" customWidth="1"/>
    <col min="19" max="19" width="0.83203125" customWidth="1"/>
    <col min="20" max="20" width="14.6640625" customWidth="1"/>
    <col min="21" max="21" width="9.1640625" customWidth="1"/>
    <col min="22" max="22" width="0.83203125" customWidth="1"/>
    <col min="23" max="23" width="12.5" customWidth="1"/>
    <col min="24" max="24" width="9.6640625" customWidth="1"/>
    <col min="25" max="25" width="0.83203125" customWidth="1"/>
    <col min="26" max="26" width="14.6640625" customWidth="1"/>
    <col min="27" max="27" width="9.1640625" customWidth="1"/>
    <col min="28" max="28" width="0.83203125" customWidth="1"/>
    <col min="29" max="29" width="14.6640625" customWidth="1"/>
    <col min="30" max="30" width="9.1640625" customWidth="1"/>
    <col min="31" max="31" width="0.83203125" customWidth="1"/>
    <col min="32" max="32" width="14.6640625" customWidth="1"/>
    <col min="33" max="33" width="9.1640625" customWidth="1"/>
    <col min="34" max="34" width="0.83203125" customWidth="1"/>
    <col min="35" max="35" width="14.6640625" customWidth="1"/>
    <col min="36" max="36" width="9.1640625" customWidth="1"/>
    <col min="37" max="37" width="0.83203125" customWidth="1"/>
    <col min="38" max="38" width="14.6640625" customWidth="1"/>
    <col min="39" max="39" width="9.1640625" customWidth="1"/>
    <col min="40" max="41" width="0.83203125" customWidth="1"/>
    <col min="42" max="42" width="14.6640625" customWidth="1"/>
    <col min="43" max="43" width="9.1640625" customWidth="1"/>
    <col min="44" max="44" width="0.83203125" customWidth="1"/>
    <col min="45" max="46" width="14.6640625" customWidth="1"/>
    <col min="47" max="47" width="0.83203125" customWidth="1"/>
    <col min="48" max="49" width="14.6640625" customWidth="1"/>
    <col min="50" max="50" width="0.83203125" customWidth="1"/>
    <col min="51" max="52" width="14.6640625" customWidth="1"/>
  </cols>
  <sheetData>
    <row r="1" spans="3:52" ht="14" thickBot="1" x14ac:dyDescent="0.2">
      <c r="C1" t="s">
        <v>2</v>
      </c>
    </row>
    <row r="2" spans="3:52" ht="14" thickTop="1" x14ac:dyDescent="0.15">
      <c r="C2" s="719" t="str">
        <f>'État des Résultats'!C2</f>
        <v>Les Multiples Plaisirs gourmands</v>
      </c>
      <c r="H2" s="719" t="str">
        <f>C2</f>
        <v>Les Multiples Plaisirs gourmands</v>
      </c>
      <c r="AL2" t="s">
        <v>2</v>
      </c>
    </row>
    <row r="3" spans="3:52" x14ac:dyDescent="0.15">
      <c r="C3" s="1457" t="s">
        <v>403</v>
      </c>
      <c r="H3" s="1457" t="s">
        <v>402</v>
      </c>
      <c r="AL3" t="s">
        <v>2</v>
      </c>
    </row>
    <row r="4" spans="3:52" ht="14" thickBot="1" x14ac:dyDescent="0.2">
      <c r="C4" s="1458"/>
      <c r="H4" s="1458"/>
    </row>
    <row r="5" spans="3:52" ht="15" thickTop="1" thickBot="1" x14ac:dyDescent="0.2">
      <c r="C5" s="720"/>
      <c r="H5" s="720"/>
    </row>
    <row r="6" spans="3:52" ht="17" thickTop="1" x14ac:dyDescent="0.3">
      <c r="C6" s="788" t="str">
        <f>'État des Résultats'!C6</f>
        <v>Nb de places</v>
      </c>
      <c r="E6" s="721" t="s">
        <v>416</v>
      </c>
      <c r="F6" s="169">
        <f>E19/C7</f>
        <v>1299.9999597462768</v>
      </c>
      <c r="G6" s="26"/>
      <c r="H6" s="788" t="str">
        <f>C6</f>
        <v>Nb de places</v>
      </c>
      <c r="J6" s="721" t="str">
        <f>E6</f>
        <v>Actif / Place</v>
      </c>
      <c r="K6" s="169">
        <f>J19/H7</f>
        <v>1388.3219557209043</v>
      </c>
      <c r="AR6" s="26"/>
      <c r="AU6" s="26"/>
      <c r="AV6" s="26"/>
      <c r="AW6" s="26"/>
      <c r="AX6" s="26"/>
      <c r="AY6" s="26"/>
      <c r="AZ6" s="26"/>
    </row>
    <row r="7" spans="3:52" x14ac:dyDescent="0.15">
      <c r="C7" s="787">
        <f>'État des Résultats'!C7</f>
        <v>30</v>
      </c>
      <c r="E7" s="722" t="s">
        <v>2</v>
      </c>
      <c r="F7" s="723"/>
      <c r="G7" s="26"/>
      <c r="H7" s="787">
        <f>C7</f>
        <v>30</v>
      </c>
      <c r="J7" s="722" t="s">
        <v>2</v>
      </c>
      <c r="K7" s="723"/>
      <c r="AR7" s="26"/>
      <c r="AU7" s="26"/>
      <c r="AV7" s="26"/>
      <c r="AW7" s="26"/>
      <c r="AX7" s="26"/>
      <c r="AY7" s="26"/>
      <c r="AZ7" s="26"/>
    </row>
    <row r="8" spans="3:52" x14ac:dyDescent="0.15">
      <c r="C8" s="724" t="s">
        <v>404</v>
      </c>
      <c r="E8" s="725" t="s">
        <v>374</v>
      </c>
      <c r="F8" s="726" t="s">
        <v>138</v>
      </c>
      <c r="G8" s="727"/>
      <c r="H8" s="724" t="str">
        <f>C8</f>
        <v>Total des actifs par place</v>
      </c>
      <c r="J8" s="725" t="s">
        <v>374</v>
      </c>
      <c r="K8" s="726" t="s">
        <v>138</v>
      </c>
    </row>
    <row r="9" spans="3:52" ht="14" thickBot="1" x14ac:dyDescent="0.2">
      <c r="C9" s="728">
        <f>+E30/C7</f>
        <v>7499.9999597462765</v>
      </c>
      <c r="E9" s="725" t="s">
        <v>426</v>
      </c>
      <c r="F9" s="729" t="s">
        <v>2</v>
      </c>
      <c r="G9" s="730"/>
      <c r="H9" s="728">
        <f>J30/H7</f>
        <v>10301.655289054237</v>
      </c>
      <c r="J9" s="725" t="s">
        <v>427</v>
      </c>
      <c r="K9" s="729" t="s">
        <v>2</v>
      </c>
    </row>
    <row r="10" spans="3:52" ht="14" thickTop="1" x14ac:dyDescent="0.15">
      <c r="C10" s="731" t="s">
        <v>375</v>
      </c>
      <c r="E10" s="732"/>
      <c r="F10" s="733"/>
      <c r="H10" s="731" t="str">
        <f>C10</f>
        <v>ACTIF</v>
      </c>
      <c r="J10" s="732"/>
      <c r="K10" s="733"/>
    </row>
    <row r="11" spans="3:52" x14ac:dyDescent="0.15">
      <c r="C11" s="734" t="s">
        <v>2</v>
      </c>
      <c r="E11" s="735" t="s">
        <v>2</v>
      </c>
      <c r="F11" s="736" t="s">
        <v>2</v>
      </c>
      <c r="H11" s="734" t="s">
        <v>2</v>
      </c>
      <c r="J11" s="735" t="s">
        <v>2</v>
      </c>
      <c r="K11" s="736" t="s">
        <v>2</v>
      </c>
    </row>
    <row r="12" spans="3:52" x14ac:dyDescent="0.15">
      <c r="C12" s="737" t="s">
        <v>376</v>
      </c>
      <c r="E12" s="735" t="s">
        <v>2</v>
      </c>
      <c r="F12" s="738" t="s">
        <v>2</v>
      </c>
      <c r="H12" s="737" t="str">
        <f>C12</f>
        <v>Actif courant</v>
      </c>
      <c r="J12" s="735" t="s">
        <v>2</v>
      </c>
      <c r="K12" s="738" t="s">
        <v>2</v>
      </c>
    </row>
    <row r="13" spans="3:52" x14ac:dyDescent="0.15">
      <c r="C13" s="734"/>
      <c r="E13" s="735"/>
      <c r="F13" s="738"/>
      <c r="H13" s="734"/>
      <c r="J13" s="735"/>
      <c r="K13" s="738"/>
    </row>
    <row r="14" spans="3:52" x14ac:dyDescent="0.15">
      <c r="C14" s="734" t="s">
        <v>407</v>
      </c>
      <c r="E14" s="1233">
        <v>29008.1</v>
      </c>
      <c r="F14" s="738">
        <f>E14/E30</f>
        <v>0.1289248895808498</v>
      </c>
      <c r="H14" s="734" t="str">
        <f>C14</f>
        <v xml:space="preserve"> Trésorerie et équivalent de trésorerie</v>
      </c>
      <c r="J14" s="1233">
        <v>30658.57</v>
      </c>
      <c r="K14" s="738">
        <f>J14/J30</f>
        <v>9.9202730498969702E-2</v>
      </c>
    </row>
    <row r="15" spans="3:52" x14ac:dyDescent="0.15">
      <c r="C15" s="734" t="s">
        <v>377</v>
      </c>
      <c r="E15" s="1214">
        <v>0</v>
      </c>
      <c r="F15" s="738">
        <f>E15/E30</f>
        <v>0</v>
      </c>
      <c r="H15" s="734" t="str">
        <f>C15</f>
        <v xml:space="preserve"> Clients et autres débiteurs</v>
      </c>
      <c r="J15" s="1214">
        <v>0</v>
      </c>
      <c r="K15" s="738">
        <f>J15/J30</f>
        <v>0</v>
      </c>
    </row>
    <row r="16" spans="3:52" x14ac:dyDescent="0.15">
      <c r="C16" s="734" t="s">
        <v>378</v>
      </c>
      <c r="E16" s="1214">
        <f>'Coût marchandises vendues'!AO26</f>
        <v>9991.8987923882996</v>
      </c>
      <c r="F16" s="738">
        <f>E16/E30</f>
        <v>4.440843931562867E-2</v>
      </c>
      <c r="H16" s="734" t="str">
        <f>C16</f>
        <v xml:space="preserve"> Stocks</v>
      </c>
      <c r="J16" s="1214">
        <f>'Coût marchandises vendues'!AO29</f>
        <v>10991.088671627131</v>
      </c>
      <c r="K16" s="738">
        <f>J16/J30</f>
        <v>3.5564150819222984E-2</v>
      </c>
    </row>
    <row r="17" spans="2:52" x14ac:dyDescent="0.15">
      <c r="C17" s="734" t="s">
        <v>379</v>
      </c>
      <c r="E17" s="1214">
        <v>0</v>
      </c>
      <c r="F17" s="738">
        <f>E17/E30</f>
        <v>0</v>
      </c>
      <c r="H17" s="734" t="str">
        <f>C17</f>
        <v xml:space="preserve"> Autres actifs courants</v>
      </c>
      <c r="J17" s="1214">
        <v>0</v>
      </c>
      <c r="K17" s="738">
        <f>J17/J30</f>
        <v>0</v>
      </c>
    </row>
    <row r="18" spans="2:52" ht="14" thickBot="1" x14ac:dyDescent="0.2">
      <c r="C18" s="739" t="s">
        <v>2</v>
      </c>
      <c r="E18" s="1214" t="s">
        <v>2</v>
      </c>
      <c r="F18" s="738" t="s">
        <v>2</v>
      </c>
      <c r="H18" s="739" t="s">
        <v>2</v>
      </c>
      <c r="J18" s="1214" t="s">
        <v>2</v>
      </c>
      <c r="K18" s="738" t="s">
        <v>2</v>
      </c>
    </row>
    <row r="19" spans="2:52" ht="14" thickBot="1" x14ac:dyDescent="0.2">
      <c r="C19" s="740" t="s">
        <v>380</v>
      </c>
      <c r="D19" s="741"/>
      <c r="E19" s="1215">
        <f>SUM(E14:E17)</f>
        <v>38999.998792388302</v>
      </c>
      <c r="F19" s="742">
        <f>E19/E30</f>
        <v>0.17333332889647848</v>
      </c>
      <c r="H19" s="740" t="str">
        <f>C19</f>
        <v>Total des actifs courants</v>
      </c>
      <c r="I19" s="741"/>
      <c r="J19" s="1215">
        <f>SUM(J14:J17)</f>
        <v>41649.658671627127</v>
      </c>
      <c r="K19" s="742">
        <f>J19/J30</f>
        <v>0.13476688131819267</v>
      </c>
      <c r="AR19" s="741"/>
      <c r="AS19" s="741"/>
      <c r="AT19" s="741"/>
      <c r="AU19" s="741"/>
      <c r="AV19" s="741"/>
      <c r="AW19" s="741"/>
      <c r="AX19" s="741"/>
      <c r="AY19" s="741"/>
      <c r="AZ19" s="741"/>
    </row>
    <row r="20" spans="2:52" x14ac:dyDescent="0.15">
      <c r="C20" s="743"/>
      <c r="E20" s="1216" t="s">
        <v>2</v>
      </c>
      <c r="F20" s="744"/>
      <c r="H20" s="743"/>
      <c r="J20" s="1216" t="s">
        <v>2</v>
      </c>
      <c r="K20" s="744"/>
    </row>
    <row r="21" spans="2:52" x14ac:dyDescent="0.15">
      <c r="B21" s="745"/>
      <c r="C21" s="746" t="s">
        <v>381</v>
      </c>
      <c r="D21" s="747"/>
      <c r="E21" s="1217" t="s">
        <v>2</v>
      </c>
      <c r="F21" s="748" t="s">
        <v>2</v>
      </c>
      <c r="H21" s="746" t="str">
        <f>C21</f>
        <v>Actif non courant</v>
      </c>
      <c r="I21" s="747"/>
      <c r="J21" s="1217" t="s">
        <v>2</v>
      </c>
      <c r="K21" s="748" t="s">
        <v>2</v>
      </c>
      <c r="AT21" s="749" t="s">
        <v>2</v>
      </c>
    </row>
    <row r="22" spans="2:52" x14ac:dyDescent="0.15">
      <c r="C22" s="750"/>
      <c r="E22" s="1218"/>
      <c r="F22" s="744"/>
      <c r="H22" s="750"/>
      <c r="J22" s="1218"/>
      <c r="K22" s="744"/>
    </row>
    <row r="23" spans="2:52" x14ac:dyDescent="0.15">
      <c r="C23" s="751" t="s">
        <v>382</v>
      </c>
      <c r="E23" s="1214">
        <v>0</v>
      </c>
      <c r="F23" s="744">
        <f>E23/E30</f>
        <v>0</v>
      </c>
      <c r="H23" s="751" t="str">
        <f>C23</f>
        <v xml:space="preserve"> Placements</v>
      </c>
      <c r="J23" s="1214">
        <v>100000</v>
      </c>
      <c r="K23" s="744">
        <f>J23/J30</f>
        <v>0.32357259486978585</v>
      </c>
    </row>
    <row r="24" spans="2:52" x14ac:dyDescent="0.15">
      <c r="C24" s="751" t="s">
        <v>410</v>
      </c>
      <c r="E24" s="1214">
        <v>186000</v>
      </c>
      <c r="F24" s="744">
        <f>E24/E30</f>
        <v>0.82666667110352154</v>
      </c>
      <c r="H24" s="751" t="str">
        <f>C24</f>
        <v xml:space="preserve"> Immobilisations corporelles </v>
      </c>
      <c r="J24" s="1214">
        <f>+(E24-18600)</f>
        <v>167400</v>
      </c>
      <c r="K24" s="744">
        <f>J24/J30</f>
        <v>0.54166052381202157</v>
      </c>
    </row>
    <row r="25" spans="2:52" x14ac:dyDescent="0.15">
      <c r="C25" s="751" t="s">
        <v>409</v>
      </c>
      <c r="E25" s="1214">
        <v>0</v>
      </c>
      <c r="F25" s="744">
        <f>E25/E30</f>
        <v>0</v>
      </c>
      <c r="H25" s="751" t="str">
        <f>C25</f>
        <v xml:space="preserve"> Immobilisations incorporelles</v>
      </c>
      <c r="J25" s="1214">
        <v>0</v>
      </c>
      <c r="K25" s="744">
        <f>J25/J30</f>
        <v>0</v>
      </c>
    </row>
    <row r="26" spans="2:52" x14ac:dyDescent="0.15">
      <c r="C26" s="751" t="s">
        <v>383</v>
      </c>
      <c r="E26" s="1214">
        <v>0</v>
      </c>
      <c r="F26" s="744">
        <f>E26/E30</f>
        <v>0</v>
      </c>
      <c r="H26" s="751" t="str">
        <f>C26</f>
        <v xml:space="preserve"> Achalandage (Goodwill)</v>
      </c>
      <c r="J26" s="1214">
        <v>0</v>
      </c>
      <c r="K26" s="744">
        <f>J26/J30</f>
        <v>0</v>
      </c>
    </row>
    <row r="27" spans="2:52" x14ac:dyDescent="0.15">
      <c r="C27" s="751"/>
      <c r="E27" s="1218"/>
      <c r="F27" s="744"/>
      <c r="H27" s="751"/>
      <c r="J27" s="1218"/>
      <c r="K27" s="744"/>
    </row>
    <row r="28" spans="2:52" x14ac:dyDescent="0.15">
      <c r="C28" s="752" t="s">
        <v>384</v>
      </c>
      <c r="D28" s="753"/>
      <c r="E28" s="1219">
        <f>SUM(E23:E26)</f>
        <v>186000</v>
      </c>
      <c r="F28" s="754">
        <f>E28/E30</f>
        <v>0.82666667110352154</v>
      </c>
      <c r="H28" s="752" t="str">
        <f>C28</f>
        <v>Total des actifs non courant</v>
      </c>
      <c r="I28" s="753"/>
      <c r="J28" s="1219">
        <f>SUM(J23:J26)</f>
        <v>267400</v>
      </c>
      <c r="K28" s="754">
        <f>J28/J30</f>
        <v>0.86523311868180741</v>
      </c>
      <c r="AS28" s="749" t="s">
        <v>2</v>
      </c>
    </row>
    <row r="29" spans="2:52" x14ac:dyDescent="0.15">
      <c r="C29" s="750"/>
      <c r="E29" s="1218"/>
      <c r="F29" s="744"/>
      <c r="H29" s="750"/>
      <c r="J29" s="1218"/>
      <c r="K29" s="744"/>
    </row>
    <row r="30" spans="2:52" x14ac:dyDescent="0.15">
      <c r="C30" s="755" t="s">
        <v>411</v>
      </c>
      <c r="D30" s="753"/>
      <c r="E30" s="1220">
        <f>+E19+E28</f>
        <v>224999.9987923883</v>
      </c>
      <c r="F30" s="756">
        <f>E30/E30</f>
        <v>1</v>
      </c>
      <c r="H30" s="755" t="str">
        <f>C30</f>
        <v>TOTAL DES ACTIFS</v>
      </c>
      <c r="I30" s="753"/>
      <c r="J30" s="1220">
        <f>+J19+J28</f>
        <v>309049.65867162711</v>
      </c>
      <c r="K30" s="756">
        <f>J30/J30</f>
        <v>1</v>
      </c>
      <c r="N30" s="1068">
        <f>+J66-J30</f>
        <v>3.380602051038295E-3</v>
      </c>
      <c r="AR30" s="37"/>
    </row>
    <row r="31" spans="2:52" x14ac:dyDescent="0.15">
      <c r="C31" s="750"/>
      <c r="E31" s="1218"/>
      <c r="F31" s="744"/>
      <c r="H31" s="750"/>
      <c r="J31" s="1218"/>
      <c r="K31" s="744"/>
    </row>
    <row r="32" spans="2:52" x14ac:dyDescent="0.15">
      <c r="C32" s="757" t="s">
        <v>385</v>
      </c>
      <c r="D32" s="741"/>
      <c r="E32" s="1221" t="s">
        <v>2</v>
      </c>
      <c r="F32" s="742" t="s">
        <v>2</v>
      </c>
      <c r="H32" s="757" t="str">
        <f>C32</f>
        <v>PASSIF</v>
      </c>
      <c r="I32" s="741"/>
      <c r="J32" s="1221" t="s">
        <v>2</v>
      </c>
      <c r="K32" s="742" t="s">
        <v>2</v>
      </c>
      <c r="AR32" s="758"/>
      <c r="AS32" s="741"/>
      <c r="AT32" s="741"/>
      <c r="AU32" s="741"/>
      <c r="AV32" s="741"/>
      <c r="AW32" s="741"/>
      <c r="AX32" s="741"/>
      <c r="AY32" s="741"/>
      <c r="AZ32" s="741"/>
    </row>
    <row r="33" spans="3:52" x14ac:dyDescent="0.15">
      <c r="C33" s="759"/>
      <c r="E33" s="1218"/>
      <c r="F33" s="744"/>
      <c r="H33" s="759"/>
      <c r="J33" s="1218"/>
      <c r="K33" s="744"/>
    </row>
    <row r="34" spans="3:52" x14ac:dyDescent="0.15">
      <c r="C34" s="737" t="s">
        <v>408</v>
      </c>
      <c r="E34" s="1222" t="s">
        <v>2</v>
      </c>
      <c r="F34" s="760" t="s">
        <v>2</v>
      </c>
      <c r="H34" s="737" t="str">
        <f>C34</f>
        <v>Passif courant</v>
      </c>
      <c r="J34" s="1222" t="s">
        <v>2</v>
      </c>
      <c r="K34" s="760" t="s">
        <v>2</v>
      </c>
    </row>
    <row r="35" spans="3:52" x14ac:dyDescent="0.15">
      <c r="C35" s="734" t="s">
        <v>2</v>
      </c>
      <c r="D35" s="761"/>
      <c r="E35" s="1222" t="s">
        <v>2</v>
      </c>
      <c r="F35" s="760" t="s">
        <v>2</v>
      </c>
      <c r="H35" s="734" t="s">
        <v>2</v>
      </c>
      <c r="I35" s="761"/>
      <c r="J35" s="1222" t="s">
        <v>2</v>
      </c>
      <c r="K35" s="760" t="s">
        <v>2</v>
      </c>
    </row>
    <row r="36" spans="3:52" x14ac:dyDescent="0.15">
      <c r="C36" s="734" t="s">
        <v>386</v>
      </c>
      <c r="D36" s="761"/>
      <c r="E36" s="1222">
        <v>0</v>
      </c>
      <c r="F36" s="744">
        <f>E36/E30</f>
        <v>0</v>
      </c>
      <c r="H36" s="734" t="str">
        <f t="shared" ref="H36:H41" si="0">C36</f>
        <v xml:space="preserve"> Découverts bancaires</v>
      </c>
      <c r="I36" s="761"/>
      <c r="J36" s="1222">
        <v>0</v>
      </c>
      <c r="K36" s="744">
        <f>J36/J30</f>
        <v>0</v>
      </c>
    </row>
    <row r="37" spans="3:52" x14ac:dyDescent="0.15">
      <c r="C37" s="734" t="s">
        <v>387</v>
      </c>
      <c r="D37" s="761"/>
      <c r="E37" s="1222">
        <v>0</v>
      </c>
      <c r="F37" s="744">
        <f>E37/E30</f>
        <v>0</v>
      </c>
      <c r="H37" s="734" t="str">
        <f t="shared" si="0"/>
        <v xml:space="preserve"> Emprunts bancaires</v>
      </c>
      <c r="I37" s="761"/>
      <c r="J37" s="1222">
        <v>0</v>
      </c>
      <c r="K37" s="744">
        <f>J37/J30</f>
        <v>0</v>
      </c>
    </row>
    <row r="38" spans="3:52" x14ac:dyDescent="0.15">
      <c r="C38" s="734" t="s">
        <v>405</v>
      </c>
      <c r="E38" s="1222">
        <f>'Coût marchandises vendues'!AO34</f>
        <v>0</v>
      </c>
      <c r="F38" s="744">
        <f>E38/E30</f>
        <v>0</v>
      </c>
      <c r="H38" s="734" t="str">
        <f t="shared" si="0"/>
        <v xml:space="preserve"> Fournisseurs et autres créditeurs </v>
      </c>
      <c r="J38" s="1234">
        <f>'Coût marchandises vendues'!AO35+'État des Résultats'!AP43</f>
        <v>28796.247514610863</v>
      </c>
      <c r="K38" s="744">
        <f>J38/J30</f>
        <v>9.3176765308152582E-2</v>
      </c>
    </row>
    <row r="39" spans="3:52" x14ac:dyDescent="0.15">
      <c r="C39" s="734" t="s">
        <v>388</v>
      </c>
      <c r="E39" s="1222">
        <v>0</v>
      </c>
      <c r="F39" s="744">
        <f>E39/E30</f>
        <v>0</v>
      </c>
      <c r="H39" s="734" t="str">
        <f t="shared" si="0"/>
        <v xml:space="preserve"> Produits différés</v>
      </c>
      <c r="J39" s="1222">
        <v>0</v>
      </c>
      <c r="K39" s="744">
        <f>J39/J30</f>
        <v>0</v>
      </c>
    </row>
    <row r="40" spans="3:52" x14ac:dyDescent="0.15">
      <c r="C40" s="734" t="s">
        <v>389</v>
      </c>
      <c r="E40" s="1222">
        <v>0</v>
      </c>
      <c r="F40" s="744">
        <f>E40/E30</f>
        <v>0</v>
      </c>
      <c r="H40" s="734" t="str">
        <f t="shared" si="0"/>
        <v xml:space="preserve"> Provisions pour risques et charges</v>
      </c>
      <c r="J40" s="1222">
        <v>0</v>
      </c>
      <c r="K40" s="744">
        <f>J40/J30</f>
        <v>0</v>
      </c>
    </row>
    <row r="41" spans="3:52" x14ac:dyDescent="0.15">
      <c r="C41" s="734" t="s">
        <v>390</v>
      </c>
      <c r="E41" s="1222">
        <v>0</v>
      </c>
      <c r="F41" s="744">
        <f>E41/E30</f>
        <v>0</v>
      </c>
      <c r="H41" s="734" t="str">
        <f t="shared" si="0"/>
        <v xml:space="preserve"> Partie courante de la dette</v>
      </c>
      <c r="J41" s="1222">
        <v>0</v>
      </c>
      <c r="K41" s="744">
        <f>J41/J30</f>
        <v>0</v>
      </c>
    </row>
    <row r="42" spans="3:52" x14ac:dyDescent="0.15">
      <c r="C42" s="734"/>
      <c r="E42" s="1222"/>
      <c r="F42" s="744"/>
      <c r="H42" s="734"/>
      <c r="J42" s="1222"/>
      <c r="K42" s="744"/>
    </row>
    <row r="43" spans="3:52" x14ac:dyDescent="0.15">
      <c r="C43" s="752" t="s">
        <v>391</v>
      </c>
      <c r="D43" s="762"/>
      <c r="E43" s="1223">
        <f>SUM(E36:E41)</f>
        <v>0</v>
      </c>
      <c r="F43" s="763">
        <f>E43/E30</f>
        <v>0</v>
      </c>
      <c r="H43" s="752" t="str">
        <f>C43</f>
        <v>Total des passifs courants</v>
      </c>
      <c r="I43" s="762"/>
      <c r="J43" s="1223">
        <f>SUM(J36:J41)</f>
        <v>28796.247514610863</v>
      </c>
      <c r="K43" s="763">
        <f>J43/J30</f>
        <v>9.3176765308152582E-2</v>
      </c>
      <c r="AS43" s="749" t="s">
        <v>2</v>
      </c>
    </row>
    <row r="44" spans="3:52" x14ac:dyDescent="0.15">
      <c r="C44" s="759"/>
      <c r="E44" s="1218"/>
      <c r="F44" s="744"/>
      <c r="H44" s="759"/>
      <c r="J44" s="1218"/>
      <c r="K44" s="744"/>
    </row>
    <row r="45" spans="3:52" x14ac:dyDescent="0.15">
      <c r="C45" s="764" t="s">
        <v>392</v>
      </c>
      <c r="D45" s="745"/>
      <c r="E45" s="1224" t="s">
        <v>2</v>
      </c>
      <c r="F45" s="765" t="s">
        <v>2</v>
      </c>
      <c r="H45" s="764" t="str">
        <f>C45</f>
        <v>Passif non courant</v>
      </c>
      <c r="I45" s="745"/>
      <c r="J45" s="1224" t="s">
        <v>2</v>
      </c>
      <c r="K45" s="765" t="s">
        <v>2</v>
      </c>
      <c r="AR45" s="758"/>
      <c r="AS45" s="741"/>
      <c r="AT45" s="741"/>
      <c r="AU45" s="741"/>
      <c r="AV45" s="741"/>
      <c r="AW45" s="741"/>
      <c r="AX45" s="741"/>
      <c r="AY45" s="741"/>
      <c r="AZ45" s="741"/>
    </row>
    <row r="46" spans="3:52" x14ac:dyDescent="0.15">
      <c r="C46" s="759"/>
      <c r="E46" s="1218"/>
      <c r="F46" s="744"/>
      <c r="H46" s="759"/>
      <c r="J46" s="1218"/>
      <c r="K46" s="744"/>
    </row>
    <row r="47" spans="3:52" x14ac:dyDescent="0.15">
      <c r="C47" s="734" t="s">
        <v>406</v>
      </c>
      <c r="E47" s="1222">
        <v>150000</v>
      </c>
      <c r="F47" s="744">
        <f>E47/E30</f>
        <v>0.66666667024477544</v>
      </c>
      <c r="H47" s="734" t="str">
        <f>C47</f>
        <v xml:space="preserve"> Emprunts hypothécaires </v>
      </c>
      <c r="J47" s="1222">
        <f>+(E47-15000)</f>
        <v>135000</v>
      </c>
      <c r="K47" s="744">
        <f>J47/J30</f>
        <v>0.4368230030742109</v>
      </c>
      <c r="AS47" s="749" t="s">
        <v>2</v>
      </c>
    </row>
    <row r="48" spans="3:52" x14ac:dyDescent="0.15">
      <c r="C48" s="734" t="s">
        <v>393</v>
      </c>
      <c r="E48" s="1222">
        <v>0</v>
      </c>
      <c r="F48" s="744">
        <f>E48/E30</f>
        <v>0</v>
      </c>
      <c r="H48" s="734" t="str">
        <f>C48</f>
        <v xml:space="preserve"> Emprunts obligataires</v>
      </c>
      <c r="J48" s="1222">
        <v>0</v>
      </c>
      <c r="K48" s="744">
        <f>J48/J30</f>
        <v>0</v>
      </c>
      <c r="AS48" s="749"/>
    </row>
    <row r="49" spans="3:52" x14ac:dyDescent="0.15">
      <c r="C49" s="734" t="s">
        <v>394</v>
      </c>
      <c r="E49" s="1222">
        <v>0</v>
      </c>
      <c r="F49" s="744">
        <f>E49/E30</f>
        <v>0</v>
      </c>
      <c r="H49" s="734" t="str">
        <f>C49</f>
        <v xml:space="preserve"> Obligations découlant de contrats de location-financement</v>
      </c>
      <c r="J49" s="1222">
        <v>0</v>
      </c>
      <c r="K49" s="744">
        <f>J49/J30</f>
        <v>0</v>
      </c>
      <c r="AS49" s="749"/>
    </row>
    <row r="50" spans="3:52" x14ac:dyDescent="0.15">
      <c r="C50" s="734" t="s">
        <v>395</v>
      </c>
      <c r="E50" s="1222">
        <v>0</v>
      </c>
      <c r="F50" s="744">
        <f>E50/E30</f>
        <v>0</v>
      </c>
      <c r="H50" s="734" t="str">
        <f>C50</f>
        <v xml:space="preserve"> Impôts différés</v>
      </c>
      <c r="J50" s="1222">
        <v>0</v>
      </c>
      <c r="K50" s="744">
        <f>J50/J30</f>
        <v>0</v>
      </c>
      <c r="AS50" s="749"/>
    </row>
    <row r="51" spans="3:52" x14ac:dyDescent="0.15">
      <c r="C51" s="759"/>
      <c r="E51" s="1218"/>
      <c r="F51" s="744"/>
      <c r="H51" s="759"/>
      <c r="J51" s="1218"/>
      <c r="K51" s="744"/>
    </row>
    <row r="52" spans="3:52" x14ac:dyDescent="0.15">
      <c r="C52" s="766" t="s">
        <v>412</v>
      </c>
      <c r="D52" s="741"/>
      <c r="E52" s="1221">
        <f>+SUM(E47:E50)</f>
        <v>150000</v>
      </c>
      <c r="F52" s="742">
        <f>E52/E30</f>
        <v>0.66666667024477544</v>
      </c>
      <c r="H52" s="766" t="str">
        <f>C52</f>
        <v>Total des passifs non courant</v>
      </c>
      <c r="I52" s="741"/>
      <c r="J52" s="1221">
        <f>+SUM(J47:J50)</f>
        <v>135000</v>
      </c>
      <c r="K52" s="742">
        <f>J52/J30</f>
        <v>0.4368230030742109</v>
      </c>
      <c r="AR52" s="758"/>
      <c r="AS52" s="741"/>
      <c r="AT52" s="741"/>
      <c r="AU52" s="741"/>
      <c r="AV52" s="741"/>
      <c r="AW52" s="741"/>
      <c r="AX52" s="741"/>
      <c r="AY52" s="741"/>
      <c r="AZ52" s="741"/>
    </row>
    <row r="53" spans="3:52" x14ac:dyDescent="0.15">
      <c r="C53" s="767"/>
      <c r="D53" s="768"/>
      <c r="E53" s="1225"/>
      <c r="F53" s="769"/>
      <c r="H53" s="767"/>
      <c r="I53" s="768"/>
      <c r="J53" s="1225"/>
      <c r="K53" s="769"/>
      <c r="AR53" s="758"/>
      <c r="AS53" s="741"/>
      <c r="AT53" s="741"/>
      <c r="AU53" s="741"/>
      <c r="AV53" s="741"/>
      <c r="AW53" s="741"/>
      <c r="AX53" s="741"/>
      <c r="AY53" s="741"/>
      <c r="AZ53" s="741"/>
    </row>
    <row r="54" spans="3:52" x14ac:dyDescent="0.15">
      <c r="C54" s="770" t="s">
        <v>413</v>
      </c>
      <c r="D54" s="768"/>
      <c r="E54" s="1226">
        <f>+E43+E52</f>
        <v>150000</v>
      </c>
      <c r="F54" s="771">
        <f>E54/E30</f>
        <v>0.66666667024477544</v>
      </c>
      <c r="H54" s="770" t="str">
        <f>C54</f>
        <v>TOTAL DES PASSIFS</v>
      </c>
      <c r="I54" s="768"/>
      <c r="J54" s="1226">
        <f>+J43+J52</f>
        <v>163796.24751461088</v>
      </c>
      <c r="K54" s="771">
        <f>J54/J30</f>
        <v>0.52999976838236351</v>
      </c>
      <c r="AR54" s="758"/>
      <c r="AS54" s="741"/>
      <c r="AT54" s="741"/>
      <c r="AU54" s="741"/>
      <c r="AV54" s="741"/>
      <c r="AW54" s="741"/>
      <c r="AX54" s="741"/>
      <c r="AY54" s="741"/>
      <c r="AZ54" s="741"/>
    </row>
    <row r="55" spans="3:52" x14ac:dyDescent="0.15">
      <c r="C55" s="759"/>
      <c r="E55" s="1218"/>
      <c r="F55" s="744"/>
      <c r="H55" s="759"/>
      <c r="J55" s="1218"/>
      <c r="K55" s="744"/>
    </row>
    <row r="56" spans="3:52" x14ac:dyDescent="0.15">
      <c r="C56" s="772" t="s">
        <v>396</v>
      </c>
      <c r="E56" s="1227" t="s">
        <v>2</v>
      </c>
      <c r="F56" s="773" t="s">
        <v>2</v>
      </c>
      <c r="H56" s="772" t="str">
        <f>C56</f>
        <v>CAPITAUX PROPRES</v>
      </c>
      <c r="J56" s="1227" t="s">
        <v>2</v>
      </c>
      <c r="K56" s="773" t="s">
        <v>2</v>
      </c>
      <c r="AS56" s="749" t="s">
        <v>2</v>
      </c>
    </row>
    <row r="57" spans="3:52" x14ac:dyDescent="0.15">
      <c r="C57" s="774"/>
      <c r="D57" s="761"/>
      <c r="E57" s="1228"/>
      <c r="F57" s="775"/>
      <c r="H57" s="774"/>
      <c r="I57" s="761"/>
      <c r="J57" s="1228"/>
      <c r="K57" s="775"/>
      <c r="AS57" s="749"/>
    </row>
    <row r="58" spans="3:52" x14ac:dyDescent="0.15">
      <c r="C58" s="776" t="s">
        <v>397</v>
      </c>
      <c r="D58" s="761"/>
      <c r="E58" s="1222">
        <v>75000</v>
      </c>
      <c r="F58" s="777">
        <f>E58/$E$30</f>
        <v>0.33333333512238772</v>
      </c>
      <c r="H58" s="776" t="str">
        <f>C58</f>
        <v xml:space="preserve"> Capital actions</v>
      </c>
      <c r="I58" s="761"/>
      <c r="J58" s="1222">
        <v>75000</v>
      </c>
      <c r="K58" s="777">
        <f>J58/$J$30</f>
        <v>0.24267944615233938</v>
      </c>
      <c r="AS58" s="749"/>
    </row>
    <row r="59" spans="3:52" x14ac:dyDescent="0.15">
      <c r="C59" s="776" t="s">
        <v>415</v>
      </c>
      <c r="D59" s="761"/>
      <c r="E59" s="1222">
        <v>0</v>
      </c>
      <c r="F59" s="777">
        <f t="shared" ref="F59:F62" si="1">E59/$E$30</f>
        <v>0</v>
      </c>
      <c r="H59" s="776" t="str">
        <f>C59</f>
        <v xml:space="preserve"> Surplus d’apports</v>
      </c>
      <c r="I59" s="761"/>
      <c r="J59" s="1222">
        <v>0</v>
      </c>
      <c r="K59" s="777">
        <f>J59/$J$30</f>
        <v>0</v>
      </c>
      <c r="AS59" s="749"/>
    </row>
    <row r="60" spans="3:52" x14ac:dyDescent="0.15">
      <c r="C60" s="776" t="s">
        <v>398</v>
      </c>
      <c r="D60" s="761"/>
      <c r="E60" s="1222">
        <v>0</v>
      </c>
      <c r="F60" s="777">
        <f t="shared" si="1"/>
        <v>0</v>
      </c>
      <c r="H60" s="776" t="str">
        <f>C60</f>
        <v xml:space="preserve"> Résultats non distribués</v>
      </c>
      <c r="I60" s="761"/>
      <c r="J60" s="1222">
        <f>+E60+'État des Résultats'!AP45</f>
        <v>70253.414537618257</v>
      </c>
      <c r="K60" s="777">
        <f>J60/$J$30</f>
        <v>0.22732079640399877</v>
      </c>
      <c r="AS60" s="749"/>
    </row>
    <row r="61" spans="3:52" x14ac:dyDescent="0.15">
      <c r="C61" s="776" t="s">
        <v>399</v>
      </c>
      <c r="D61" s="761"/>
      <c r="E61" s="1222">
        <v>0</v>
      </c>
      <c r="F61" s="777">
        <f t="shared" si="1"/>
        <v>0</v>
      </c>
      <c r="H61" s="776" t="str">
        <f>C61</f>
        <v xml:space="preserve"> Cumul des autres éléments du résultat global</v>
      </c>
      <c r="I61" s="761"/>
      <c r="J61" s="1222">
        <v>0</v>
      </c>
      <c r="K61" s="777">
        <f>J61/$J$30</f>
        <v>0</v>
      </c>
      <c r="AS61" s="749"/>
    </row>
    <row r="62" spans="3:52" x14ac:dyDescent="0.15">
      <c r="C62" s="776" t="s">
        <v>414</v>
      </c>
      <c r="D62" s="761"/>
      <c r="E62" s="1222">
        <v>0</v>
      </c>
      <c r="F62" s="777">
        <f t="shared" si="1"/>
        <v>0</v>
      </c>
      <c r="H62" s="776" t="str">
        <f>C62</f>
        <v xml:space="preserve"> Participation ne donnant pas le contrôle</v>
      </c>
      <c r="I62" s="761"/>
      <c r="J62" s="1222">
        <v>0</v>
      </c>
      <c r="K62" s="777">
        <f>J62/$J$30</f>
        <v>0</v>
      </c>
      <c r="AS62" s="749"/>
    </row>
    <row r="63" spans="3:52" x14ac:dyDescent="0.15">
      <c r="C63" s="778"/>
      <c r="E63" s="1218"/>
      <c r="F63" s="744"/>
      <c r="H63" s="778"/>
      <c r="J63" s="1216" t="s">
        <v>2</v>
      </c>
      <c r="K63" s="760" t="s">
        <v>2</v>
      </c>
    </row>
    <row r="64" spans="3:52" ht="14" thickBot="1" x14ac:dyDescent="0.2">
      <c r="C64" s="779" t="s">
        <v>400</v>
      </c>
      <c r="D64" s="741"/>
      <c r="E64" s="1229">
        <f>+SUM(E58:E62)</f>
        <v>75000</v>
      </c>
      <c r="F64" s="780">
        <f>E64/E30</f>
        <v>0.33333333512238772</v>
      </c>
      <c r="H64" s="779" t="str">
        <f>C64</f>
        <v>Total des capitaux propres</v>
      </c>
      <c r="I64" s="741"/>
      <c r="J64" s="1229">
        <f>+SUM(J58:J62)</f>
        <v>145253.41453761826</v>
      </c>
      <c r="K64" s="780">
        <f>J64/J30</f>
        <v>0.47000024255633815</v>
      </c>
      <c r="AR64" s="758"/>
      <c r="AS64" s="781" t="s">
        <v>2</v>
      </c>
      <c r="AT64" s="781" t="s">
        <v>2</v>
      </c>
      <c r="AU64" s="741"/>
      <c r="AV64" s="741"/>
      <c r="AW64" s="741"/>
      <c r="AX64" s="741"/>
      <c r="AY64" s="741"/>
      <c r="AZ64" s="741"/>
    </row>
    <row r="65" spans="3:42" ht="15" thickTop="1" thickBot="1" x14ac:dyDescent="0.2">
      <c r="C65" s="759"/>
      <c r="E65" s="1230"/>
      <c r="F65" s="782"/>
      <c r="H65" s="759"/>
      <c r="J65" s="1230"/>
      <c r="K65" s="782"/>
      <c r="P65" s="783"/>
    </row>
    <row r="66" spans="3:42" ht="15" thickTop="1" thickBot="1" x14ac:dyDescent="0.2">
      <c r="C66" s="784" t="s">
        <v>401</v>
      </c>
      <c r="E66" s="1231">
        <f>+E54+E64</f>
        <v>225000</v>
      </c>
      <c r="F66" s="785">
        <f>E66/E30</f>
        <v>1.0000000053671632</v>
      </c>
      <c r="H66" s="784" t="str">
        <f>C66</f>
        <v>TOTAL DES PASSIFS ET DES CAPITAUX PROPRES</v>
      </c>
      <c r="J66" s="1231">
        <f>+J54+J64</f>
        <v>309049.66205222916</v>
      </c>
      <c r="K66" s="785">
        <f>J66/J30</f>
        <v>1.0000000109387017</v>
      </c>
      <c r="AP66" s="32" t="s">
        <v>2</v>
      </c>
    </row>
    <row r="67" spans="3:42" ht="14" thickTop="1" x14ac:dyDescent="0.15">
      <c r="H67" s="32"/>
      <c r="I67" s="786"/>
    </row>
    <row r="68" spans="3:42" x14ac:dyDescent="0.15">
      <c r="E68" s="1213">
        <f>E66-E30</f>
        <v>1.207611698191613E-3</v>
      </c>
      <c r="H68" s="32"/>
      <c r="I68" s="786"/>
      <c r="J68" s="964"/>
    </row>
    <row r="69" spans="3:42" x14ac:dyDescent="0.15">
      <c r="H69" s="32"/>
      <c r="I69" s="786"/>
    </row>
    <row r="70" spans="3:42" x14ac:dyDescent="0.15">
      <c r="H70" s="32"/>
      <c r="I70" s="786"/>
    </row>
    <row r="71" spans="3:42" x14ac:dyDescent="0.15">
      <c r="H71" s="32"/>
      <c r="I71" s="786"/>
    </row>
    <row r="72" spans="3:42" x14ac:dyDescent="0.15">
      <c r="H72" s="32"/>
      <c r="I72" s="786"/>
    </row>
    <row r="73" spans="3:42" x14ac:dyDescent="0.15">
      <c r="I73" s="786"/>
    </row>
    <row r="74" spans="3:42" x14ac:dyDescent="0.15">
      <c r="I74" s="786"/>
    </row>
    <row r="75" spans="3:42" x14ac:dyDescent="0.15">
      <c r="I75" s="786"/>
    </row>
    <row r="76" spans="3:42" x14ac:dyDescent="0.15">
      <c r="I76" s="786"/>
    </row>
    <row r="77" spans="3:42" x14ac:dyDescent="0.15">
      <c r="I77" s="786"/>
    </row>
  </sheetData>
  <sheetProtection algorithmName="SHA-512" hashValue="nKm4VN6J9RyGgDO0iKRMQzqLTzOT6IpOYJy4XTAIp2DknYVNdC8y07lETLVuimQbGzUM/0/6+SdLkuRCK9FpTg==" saltValue="FkH2rUiZTD0JL9uassEz3Q==" spinCount="100000" sheet="1" objects="1" scenarios="1"/>
  <mergeCells count="2">
    <mergeCell ref="C3:C4"/>
    <mergeCell ref="H3:H4"/>
  </mergeCells>
  <pageMargins left="0.75000000000000011" right="0.75000000000000011" top="1" bottom="1" header="0.49" footer="0.49"/>
  <pageSetup paperSize="5" orientation="landscape"/>
  <headerFooter>
    <oddFooter>&amp;C&amp;K000000Budget et indicateurs de performance (430-763-Me)</oddFooter>
  </headerFooter>
  <ignoredErrors>
    <ignoredError sqref="H9" formula="1"/>
    <ignoredError sqref="J24 J47 J6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1"/>
  </sheetPr>
  <dimension ref="B1:S470"/>
  <sheetViews>
    <sheetView zoomScale="125" zoomScaleNormal="125" zoomScalePageLayoutView="125" workbookViewId="0">
      <pane xSplit="3" ySplit="8" topLeftCell="D368" activePane="bottomRight" state="frozen"/>
      <selection pane="topRight" activeCell="D1" sqref="D1"/>
      <selection pane="bottomLeft" activeCell="A9" sqref="A9"/>
      <selection pane="bottomRight"/>
    </sheetView>
  </sheetViews>
  <sheetFormatPr baseColWidth="10" defaultRowHeight="13" x14ac:dyDescent="0.15"/>
  <cols>
    <col min="1" max="1" width="1.5" customWidth="1"/>
    <col min="2" max="2" width="2.1640625" customWidth="1"/>
    <col min="3" max="3" width="12.5" customWidth="1"/>
    <col min="4" max="4" width="12.33203125" bestFit="1" customWidth="1"/>
    <col min="5" max="5" width="16.33203125" bestFit="1" customWidth="1"/>
    <col min="6" max="6" width="14" bestFit="1" customWidth="1"/>
    <col min="7" max="8" width="15.83203125" bestFit="1" customWidth="1"/>
    <col min="9" max="9" width="13.33203125" bestFit="1" customWidth="1"/>
    <col min="10" max="10" width="13" bestFit="1" customWidth="1"/>
    <col min="11" max="11" width="12.1640625" bestFit="1" customWidth="1"/>
    <col min="12" max="12" width="14.1640625" bestFit="1" customWidth="1"/>
    <col min="13" max="13" width="11.1640625" bestFit="1" customWidth="1"/>
    <col min="14" max="14" width="13.1640625" bestFit="1" customWidth="1"/>
    <col min="15" max="15" width="12.33203125" bestFit="1" customWidth="1"/>
    <col min="16" max="16" width="11.6640625" bestFit="1" customWidth="1"/>
    <col min="19" max="19" width="12.5" bestFit="1" customWidth="1"/>
    <col min="21" max="22" width="12.33203125" bestFit="1" customWidth="1"/>
  </cols>
  <sheetData>
    <row r="1" spans="2:17" ht="14" thickBot="1" x14ac:dyDescent="0.2"/>
    <row r="2" spans="2:17" ht="32" customHeight="1" thickTop="1" x14ac:dyDescent="0.2">
      <c r="B2" s="1272" t="str">
        <f>'État des Résultats'!C2</f>
        <v>Les Multiples Plaisirs gourmands</v>
      </c>
      <c r="C2" s="1273"/>
      <c r="D2" s="1273"/>
      <c r="E2" s="1273"/>
      <c r="F2" s="1273"/>
      <c r="G2" s="1273"/>
      <c r="H2" s="1273"/>
      <c r="I2" s="1273"/>
      <c r="J2" s="1273"/>
      <c r="K2" s="1273"/>
      <c r="L2" s="1273"/>
      <c r="M2" s="1273"/>
      <c r="N2" s="1273"/>
      <c r="O2" s="1274"/>
    </row>
    <row r="3" spans="2:17" ht="20" customHeight="1" x14ac:dyDescent="0.2">
      <c r="B3" s="1275" t="str">
        <f>'État des Résultats'!C3</f>
        <v xml:space="preserve">États des résultats </v>
      </c>
      <c r="C3" s="1276"/>
      <c r="D3" s="1276"/>
      <c r="E3" s="1276"/>
      <c r="F3" s="1276"/>
      <c r="G3" s="1276"/>
      <c r="H3" s="1276"/>
      <c r="I3" s="1276"/>
      <c r="J3" s="1276"/>
      <c r="K3" s="1276"/>
      <c r="L3" s="1276"/>
      <c r="M3" s="1276"/>
      <c r="N3" s="1276"/>
      <c r="O3" s="1277"/>
    </row>
    <row r="4" spans="2:17" ht="13" customHeight="1" thickBot="1" x14ac:dyDescent="0.2">
      <c r="B4" s="1278" t="str">
        <f>'État des Résultats'!C4</f>
        <v>Pour la période du 1er janvier 2021 au 31 décembre 2021</v>
      </c>
      <c r="C4" s="1279"/>
      <c r="D4" s="1279"/>
      <c r="E4" s="1279"/>
      <c r="F4" s="1279"/>
      <c r="G4" s="1279"/>
      <c r="H4" s="1279"/>
      <c r="I4" s="1279"/>
      <c r="J4" s="1279"/>
      <c r="K4" s="1279"/>
      <c r="L4" s="1279"/>
      <c r="M4" s="1279"/>
      <c r="N4" s="1279"/>
      <c r="O4" s="1280"/>
    </row>
    <row r="5" spans="2:17" ht="14" thickTop="1" x14ac:dyDescent="0.15">
      <c r="B5" s="1"/>
      <c r="C5" s="2"/>
      <c r="D5" s="3" t="str">
        <f>+'Calendrier 2021'!D5</f>
        <v>Pér.01</v>
      </c>
      <c r="E5" s="3" t="str">
        <f>+'Calendrier 2021'!E5</f>
        <v>Pér.02</v>
      </c>
      <c r="F5" s="3" t="str">
        <f>+'Calendrier 2021'!F5</f>
        <v>Pér.03</v>
      </c>
      <c r="G5" s="3" t="str">
        <f>+'Calendrier 2021'!G5</f>
        <v>Pér.04</v>
      </c>
      <c r="H5" s="3" t="str">
        <f>+'Calendrier 2021'!H5</f>
        <v>Pér.05</v>
      </c>
      <c r="I5" s="3" t="str">
        <f>+'Calendrier 2021'!I5</f>
        <v>Pér.06</v>
      </c>
      <c r="J5" s="3" t="str">
        <f>+'Calendrier 2021'!J5</f>
        <v>Pér.07</v>
      </c>
      <c r="K5" s="3" t="str">
        <f>+'Calendrier 2021'!K5</f>
        <v>Pér.08</v>
      </c>
      <c r="L5" s="3" t="str">
        <f>+'Calendrier 2021'!L5</f>
        <v>Pér.09</v>
      </c>
      <c r="M5" s="3" t="str">
        <f>+'Calendrier 2021'!M5</f>
        <v>Pér.10</v>
      </c>
      <c r="N5" s="3" t="str">
        <f>+'Calendrier 2021'!N5</f>
        <v>Pér.11</v>
      </c>
      <c r="O5" s="4" t="str">
        <f>+'Calendrier 2021'!O5</f>
        <v>Pér.12</v>
      </c>
    </row>
    <row r="6" spans="2:17" ht="14" thickBot="1" x14ac:dyDescent="0.2">
      <c r="B6" s="5"/>
      <c r="C6" s="6"/>
      <c r="D6" s="7" t="str">
        <f>+'Calendrier 2021'!D6</f>
        <v>Janvier 2021</v>
      </c>
      <c r="E6" s="7" t="str">
        <f>+'Calendrier 2021'!E6</f>
        <v>Février 2021</v>
      </c>
      <c r="F6" s="7" t="str">
        <f>+'Calendrier 2021'!F6</f>
        <v>Mars 2021</v>
      </c>
      <c r="G6" s="7" t="str">
        <f>+'Calendrier 2021'!G6</f>
        <v>Avril 2021</v>
      </c>
      <c r="H6" s="7" t="str">
        <f>+'Calendrier 2021'!H6</f>
        <v>Mai 2021</v>
      </c>
      <c r="I6" s="7" t="str">
        <f>+'Calendrier 2021'!I6</f>
        <v>Juin 2021</v>
      </c>
      <c r="J6" s="7" t="str">
        <f>+'Calendrier 2021'!J6</f>
        <v>Juillet 2021</v>
      </c>
      <c r="K6" s="7" t="str">
        <f>+'Calendrier 2021'!K6</f>
        <v>Août 2021</v>
      </c>
      <c r="L6" s="7" t="str">
        <f>+'Calendrier 2021'!L6</f>
        <v>Septembre 2021</v>
      </c>
      <c r="M6" s="7" t="str">
        <f>+'Calendrier 2021'!M6</f>
        <v>Octobre 2021</v>
      </c>
      <c r="N6" s="7" t="str">
        <f>+'Calendrier 2021'!N6</f>
        <v>Novembre 2021</v>
      </c>
      <c r="O6" s="7" t="str">
        <f>+'Calendrier 2021'!O6</f>
        <v>Décembre 2021</v>
      </c>
      <c r="P6" s="64"/>
      <c r="Q6" s="64"/>
    </row>
    <row r="7" spans="2:17" ht="15" thickTop="1" thickBot="1" x14ac:dyDescent="0.2">
      <c r="B7" s="1281" t="str">
        <f>+'Calendrier 2021'!B7:C7</f>
        <v>NB de place</v>
      </c>
      <c r="C7" s="1282"/>
      <c r="D7" s="8">
        <f>+'Calendrier 2021'!D7</f>
        <v>30</v>
      </c>
      <c r="E7" s="8">
        <f t="shared" ref="E7:O7" si="0">+D7</f>
        <v>30</v>
      </c>
      <c r="F7" s="8">
        <f t="shared" si="0"/>
        <v>30</v>
      </c>
      <c r="G7" s="8">
        <f t="shared" si="0"/>
        <v>30</v>
      </c>
      <c r="H7" s="8">
        <f t="shared" si="0"/>
        <v>30</v>
      </c>
      <c r="I7" s="8">
        <f t="shared" si="0"/>
        <v>30</v>
      </c>
      <c r="J7" s="8">
        <f t="shared" si="0"/>
        <v>30</v>
      </c>
      <c r="K7" s="8">
        <f t="shared" si="0"/>
        <v>30</v>
      </c>
      <c r="L7" s="8">
        <f t="shared" si="0"/>
        <v>30</v>
      </c>
      <c r="M7" s="8">
        <f t="shared" si="0"/>
        <v>30</v>
      </c>
      <c r="N7" s="8">
        <f t="shared" si="0"/>
        <v>30</v>
      </c>
      <c r="O7" s="9">
        <f t="shared" si="0"/>
        <v>30</v>
      </c>
    </row>
    <row r="8" spans="2:17" ht="15" thickTop="1" thickBot="1" x14ac:dyDescent="0.2">
      <c r="B8" s="1283" t="str">
        <f>+'Calendrier 2021'!B8:C8</f>
        <v>NB de jour</v>
      </c>
      <c r="C8" s="1284"/>
      <c r="D8" s="10">
        <f>+'Calendrier 2021'!D8</f>
        <v>31</v>
      </c>
      <c r="E8" s="10">
        <f>+'Calendrier 2021'!E8</f>
        <v>28</v>
      </c>
      <c r="F8" s="10">
        <f>+'Calendrier 2021'!F8</f>
        <v>31</v>
      </c>
      <c r="G8" s="10">
        <f>+'Calendrier 2021'!G8</f>
        <v>30</v>
      </c>
      <c r="H8" s="10">
        <f>+'Calendrier 2021'!H8</f>
        <v>31</v>
      </c>
      <c r="I8" s="10">
        <f>+'Calendrier 2021'!I8</f>
        <v>30</v>
      </c>
      <c r="J8" s="10">
        <f>+'Calendrier 2021'!J8</f>
        <v>31</v>
      </c>
      <c r="K8" s="10">
        <f>+'Calendrier 2021'!K8</f>
        <v>31</v>
      </c>
      <c r="L8" s="10">
        <f>+'Calendrier 2021'!L8</f>
        <v>30</v>
      </c>
      <c r="M8" s="10">
        <f>+'Calendrier 2021'!M8</f>
        <v>31</v>
      </c>
      <c r="N8" s="10">
        <f>+'Calendrier 2021'!N8</f>
        <v>30</v>
      </c>
      <c r="O8" s="10">
        <f>+'Calendrier 2021'!O8</f>
        <v>31</v>
      </c>
    </row>
    <row r="9" spans="2:17" ht="15" thickTop="1" thickBot="1" x14ac:dyDescent="0.2">
      <c r="B9" s="1269" t="s">
        <v>0</v>
      </c>
      <c r="C9" s="1270"/>
      <c r="D9" s="1270"/>
      <c r="E9" s="1270"/>
      <c r="F9" s="1270"/>
      <c r="G9" s="1270"/>
      <c r="H9" s="1270"/>
      <c r="I9" s="1270"/>
      <c r="J9" s="1270"/>
      <c r="K9" s="1270"/>
      <c r="L9" s="1270"/>
      <c r="M9" s="1270"/>
      <c r="N9" s="1270"/>
      <c r="O9" s="1271"/>
    </row>
    <row r="10" spans="2:17" ht="14" customHeight="1" thickTop="1" thickBot="1" x14ac:dyDescent="0.2">
      <c r="B10" s="128">
        <f>+'Calendrier 2021'!B9</f>
        <v>1</v>
      </c>
      <c r="C10" s="132" t="str">
        <f>+'Calendrier 2021'!C9</f>
        <v>Lundi</v>
      </c>
      <c r="D10" s="130" t="s">
        <v>2</v>
      </c>
      <c r="E10" s="130" t="str">
        <f>'Calendrier 2021'!E9</f>
        <v>1 fev 2021</v>
      </c>
      <c r="F10" s="130">
        <f>'Calendrier 2021'!F9</f>
        <v>44256</v>
      </c>
      <c r="G10" s="130" t="s">
        <v>2</v>
      </c>
      <c r="H10" s="130" t="s">
        <v>2</v>
      </c>
      <c r="I10" s="130" t="s">
        <v>2</v>
      </c>
      <c r="J10" s="130" t="s">
        <v>2</v>
      </c>
      <c r="K10" s="130" t="s">
        <v>2</v>
      </c>
      <c r="L10" s="130" t="s">
        <v>2</v>
      </c>
      <c r="M10" s="130" t="s">
        <v>2</v>
      </c>
      <c r="N10" s="130">
        <f>'Calendrier 2021'!N9</f>
        <v>44501</v>
      </c>
      <c r="O10" s="131" t="s">
        <v>2</v>
      </c>
    </row>
    <row r="11" spans="2:17" ht="14" customHeight="1" thickTop="1" x14ac:dyDescent="0.15">
      <c r="B11" s="11">
        <v>1</v>
      </c>
      <c r="C11" s="100" t="s">
        <v>3</v>
      </c>
      <c r="D11" s="12">
        <v>0</v>
      </c>
      <c r="E11" s="12">
        <v>20</v>
      </c>
      <c r="F11" s="12">
        <v>20</v>
      </c>
      <c r="G11" s="12">
        <v>0</v>
      </c>
      <c r="H11" s="12">
        <v>0</v>
      </c>
      <c r="I11" s="12">
        <v>0</v>
      </c>
      <c r="J11" s="12">
        <v>0</v>
      </c>
      <c r="K11" s="12">
        <v>0</v>
      </c>
      <c r="L11" s="12">
        <v>0</v>
      </c>
      <c r="M11" s="12">
        <v>0</v>
      </c>
      <c r="N11" s="12">
        <v>20</v>
      </c>
      <c r="O11" s="12">
        <v>0</v>
      </c>
    </row>
    <row r="12" spans="2:17" ht="14" customHeight="1" x14ac:dyDescent="0.15">
      <c r="B12" s="13">
        <v>2</v>
      </c>
      <c r="C12" s="102" t="s">
        <v>4</v>
      </c>
      <c r="D12" s="14">
        <v>0</v>
      </c>
      <c r="E12" s="14">
        <v>9</v>
      </c>
      <c r="F12" s="14">
        <v>10</v>
      </c>
      <c r="G12" s="14">
        <v>0</v>
      </c>
      <c r="H12" s="14">
        <v>0</v>
      </c>
      <c r="I12" s="14">
        <v>0</v>
      </c>
      <c r="J12" s="14">
        <v>0</v>
      </c>
      <c r="K12" s="14">
        <v>0</v>
      </c>
      <c r="L12" s="14">
        <v>0</v>
      </c>
      <c r="M12" s="14">
        <v>0</v>
      </c>
      <c r="N12" s="14">
        <v>21</v>
      </c>
      <c r="O12" s="14">
        <v>0</v>
      </c>
    </row>
    <row r="13" spans="2:17" ht="14" customHeight="1" x14ac:dyDescent="0.15">
      <c r="B13" s="13">
        <v>3</v>
      </c>
      <c r="C13" s="102" t="s">
        <v>5</v>
      </c>
      <c r="D13" s="14">
        <v>0</v>
      </c>
      <c r="E13" s="14">
        <v>50</v>
      </c>
      <c r="F13" s="14">
        <v>35</v>
      </c>
      <c r="G13" s="14">
        <v>0</v>
      </c>
      <c r="H13" s="14">
        <v>0</v>
      </c>
      <c r="I13" s="14">
        <v>0</v>
      </c>
      <c r="J13" s="14">
        <v>0</v>
      </c>
      <c r="K13" s="14">
        <v>0</v>
      </c>
      <c r="L13" s="14">
        <v>0</v>
      </c>
      <c r="M13" s="14">
        <v>0</v>
      </c>
      <c r="N13" s="14">
        <v>25</v>
      </c>
      <c r="O13" s="14">
        <v>0</v>
      </c>
    </row>
    <row r="14" spans="2:17" ht="14" customHeight="1" x14ac:dyDescent="0.15">
      <c r="B14" s="13">
        <v>4</v>
      </c>
      <c r="C14" s="102" t="s">
        <v>6</v>
      </c>
      <c r="D14" s="14">
        <v>0</v>
      </c>
      <c r="E14" s="14">
        <v>9</v>
      </c>
      <c r="F14" s="14">
        <v>10</v>
      </c>
      <c r="G14" s="14">
        <v>0</v>
      </c>
      <c r="H14" s="14">
        <v>0</v>
      </c>
      <c r="I14" s="14">
        <v>0</v>
      </c>
      <c r="J14" s="14">
        <v>0</v>
      </c>
      <c r="K14" s="14">
        <v>0</v>
      </c>
      <c r="L14" s="14">
        <v>0</v>
      </c>
      <c r="M14" s="14">
        <v>0</v>
      </c>
      <c r="N14" s="14">
        <v>22</v>
      </c>
      <c r="O14" s="14">
        <v>0</v>
      </c>
    </row>
    <row r="15" spans="2:17" ht="14" customHeight="1" x14ac:dyDescent="0.15">
      <c r="B15" s="13">
        <v>5</v>
      </c>
      <c r="C15" s="102" t="s">
        <v>7</v>
      </c>
      <c r="D15" s="14">
        <v>0</v>
      </c>
      <c r="E15" s="14">
        <v>9</v>
      </c>
      <c r="F15" s="14">
        <v>35</v>
      </c>
      <c r="G15" s="14">
        <v>0</v>
      </c>
      <c r="H15" s="14">
        <v>0</v>
      </c>
      <c r="I15" s="14">
        <v>0</v>
      </c>
      <c r="J15" s="14">
        <v>0</v>
      </c>
      <c r="K15" s="14">
        <v>0</v>
      </c>
      <c r="L15" s="14">
        <v>0</v>
      </c>
      <c r="M15" s="14">
        <v>0</v>
      </c>
      <c r="N15" s="14">
        <v>25</v>
      </c>
      <c r="O15" s="14">
        <v>0</v>
      </c>
    </row>
    <row r="16" spans="2:17" ht="14" customHeight="1" x14ac:dyDescent="0.15">
      <c r="B16" s="13">
        <v>6</v>
      </c>
      <c r="C16" s="102" t="s">
        <v>8</v>
      </c>
      <c r="D16" s="14">
        <v>0</v>
      </c>
      <c r="E16" s="14">
        <v>29</v>
      </c>
      <c r="F16" s="14">
        <v>19</v>
      </c>
      <c r="G16" s="14">
        <v>0</v>
      </c>
      <c r="H16" s="14">
        <v>0</v>
      </c>
      <c r="I16" s="14">
        <v>0</v>
      </c>
      <c r="J16" s="14">
        <v>0</v>
      </c>
      <c r="K16" s="14">
        <v>0</v>
      </c>
      <c r="L16" s="14">
        <v>0</v>
      </c>
      <c r="M16" s="14">
        <v>0</v>
      </c>
      <c r="N16" s="14">
        <v>22</v>
      </c>
      <c r="O16" s="14">
        <v>0</v>
      </c>
    </row>
    <row r="17" spans="2:15" ht="14" customHeight="1" x14ac:dyDescent="0.15">
      <c r="B17" s="13">
        <v>7</v>
      </c>
      <c r="C17" s="102" t="s">
        <v>9</v>
      </c>
      <c r="D17" s="14">
        <v>0</v>
      </c>
      <c r="E17" s="14">
        <v>0</v>
      </c>
      <c r="F17" s="14">
        <v>0</v>
      </c>
      <c r="G17" s="14">
        <v>0</v>
      </c>
      <c r="H17" s="14">
        <v>0</v>
      </c>
      <c r="I17" s="14">
        <v>0</v>
      </c>
      <c r="J17" s="14">
        <v>0</v>
      </c>
      <c r="K17" s="14">
        <v>0</v>
      </c>
      <c r="L17" s="14">
        <v>0</v>
      </c>
      <c r="M17" s="14">
        <v>0</v>
      </c>
      <c r="N17" s="14">
        <v>0</v>
      </c>
      <c r="O17" s="14">
        <v>0</v>
      </c>
    </row>
    <row r="18" spans="2:15" ht="14" customHeight="1" thickBot="1" x14ac:dyDescent="0.2">
      <c r="B18" s="15"/>
      <c r="C18" s="16" t="s">
        <v>10</v>
      </c>
      <c r="D18" s="283">
        <f t="shared" ref="D18:O18" si="1">+D11+D12+D13+D14+D15+D16+D17</f>
        <v>0</v>
      </c>
      <c r="E18" s="283">
        <f t="shared" si="1"/>
        <v>126</v>
      </c>
      <c r="F18" s="283">
        <f t="shared" si="1"/>
        <v>129</v>
      </c>
      <c r="G18" s="283">
        <f t="shared" si="1"/>
        <v>0</v>
      </c>
      <c r="H18" s="284">
        <f t="shared" si="1"/>
        <v>0</v>
      </c>
      <c r="I18" s="283">
        <f t="shared" si="1"/>
        <v>0</v>
      </c>
      <c r="J18" s="283">
        <f t="shared" si="1"/>
        <v>0</v>
      </c>
      <c r="K18" s="283">
        <f t="shared" si="1"/>
        <v>0</v>
      </c>
      <c r="L18" s="283">
        <f t="shared" si="1"/>
        <v>0</v>
      </c>
      <c r="M18" s="283">
        <f t="shared" si="1"/>
        <v>0</v>
      </c>
      <c r="N18" s="283">
        <f t="shared" si="1"/>
        <v>135</v>
      </c>
      <c r="O18" s="283">
        <f t="shared" si="1"/>
        <v>0</v>
      </c>
    </row>
    <row r="19" spans="2:15" ht="14" customHeight="1" thickTop="1" thickBot="1" x14ac:dyDescent="0.2">
      <c r="B19" s="122" t="s">
        <v>2</v>
      </c>
      <c r="C19" s="123" t="str">
        <f>+'Calendrier 2021'!C10</f>
        <v>Mardi</v>
      </c>
      <c r="D19" s="77" t="s">
        <v>2</v>
      </c>
      <c r="E19" s="77" t="str">
        <f>'Calendrier 2021'!E10</f>
        <v>2 fev 2021</v>
      </c>
      <c r="F19" s="77">
        <f>'Calendrier 2021'!F10</f>
        <v>44257</v>
      </c>
      <c r="G19" s="77" t="s">
        <v>2</v>
      </c>
      <c r="H19" s="77" t="s">
        <v>2</v>
      </c>
      <c r="I19" s="77">
        <f>'Calendrier 2021'!I10</f>
        <v>44348</v>
      </c>
      <c r="J19" s="77" t="s">
        <v>2</v>
      </c>
      <c r="K19" s="77" t="s">
        <v>2</v>
      </c>
      <c r="L19" s="77" t="s">
        <v>2</v>
      </c>
      <c r="M19" s="77" t="s">
        <v>2</v>
      </c>
      <c r="N19" s="77">
        <f>'Calendrier 2021'!N10</f>
        <v>44502</v>
      </c>
      <c r="O19" s="78" t="s">
        <v>2</v>
      </c>
    </row>
    <row r="20" spans="2:15" ht="14" customHeight="1" thickTop="1" thickBot="1" x14ac:dyDescent="0.2">
      <c r="B20" s="18">
        <v>1</v>
      </c>
      <c r="C20" s="100" t="str">
        <f t="shared" ref="C20:C26" si="2">C11</f>
        <v>6 h à 9 h 30</v>
      </c>
      <c r="D20" s="12">
        <v>0</v>
      </c>
      <c r="E20" s="12">
        <v>20</v>
      </c>
      <c r="F20" s="12">
        <v>20</v>
      </c>
      <c r="G20" s="12">
        <v>0</v>
      </c>
      <c r="H20" s="12">
        <v>0</v>
      </c>
      <c r="I20" s="12">
        <v>20</v>
      </c>
      <c r="J20" s="12">
        <v>0</v>
      </c>
      <c r="K20" s="12">
        <v>0</v>
      </c>
      <c r="L20" s="12">
        <v>0</v>
      </c>
      <c r="M20" s="12">
        <v>0</v>
      </c>
      <c r="N20" s="12">
        <v>20</v>
      </c>
      <c r="O20" s="12">
        <v>0</v>
      </c>
    </row>
    <row r="21" spans="2:15" ht="14" customHeight="1" thickTop="1" thickBot="1" x14ac:dyDescent="0.2">
      <c r="B21" s="121">
        <v>2</v>
      </c>
      <c r="C21" s="102" t="str">
        <f t="shared" si="2"/>
        <v>9 h 30 à 11 h 30</v>
      </c>
      <c r="D21" s="14">
        <v>0</v>
      </c>
      <c r="E21" s="14">
        <v>9</v>
      </c>
      <c r="F21" s="14">
        <v>10</v>
      </c>
      <c r="G21" s="14">
        <v>0</v>
      </c>
      <c r="H21" s="14">
        <v>0</v>
      </c>
      <c r="I21" s="14">
        <v>15</v>
      </c>
      <c r="J21" s="14">
        <v>0</v>
      </c>
      <c r="K21" s="14">
        <v>0</v>
      </c>
      <c r="L21" s="14">
        <v>0</v>
      </c>
      <c r="M21" s="14">
        <v>0</v>
      </c>
      <c r="N21" s="14">
        <v>21</v>
      </c>
      <c r="O21" s="14">
        <v>0</v>
      </c>
    </row>
    <row r="22" spans="2:15" ht="14" customHeight="1" thickTop="1" thickBot="1" x14ac:dyDescent="0.2">
      <c r="B22" s="121">
        <v>3</v>
      </c>
      <c r="C22" s="102" t="str">
        <f t="shared" si="2"/>
        <v>11 h 30 à 14 h 30</v>
      </c>
      <c r="D22" s="14">
        <v>0</v>
      </c>
      <c r="E22" s="14">
        <v>50</v>
      </c>
      <c r="F22" s="14">
        <v>35</v>
      </c>
      <c r="G22" s="14">
        <v>0</v>
      </c>
      <c r="H22" s="14">
        <v>0</v>
      </c>
      <c r="I22" s="14">
        <v>45</v>
      </c>
      <c r="J22" s="14">
        <v>0</v>
      </c>
      <c r="K22" s="14">
        <v>0</v>
      </c>
      <c r="L22" s="14">
        <v>0</v>
      </c>
      <c r="M22" s="14">
        <v>0</v>
      </c>
      <c r="N22" s="14">
        <v>25</v>
      </c>
      <c r="O22" s="14">
        <v>0</v>
      </c>
    </row>
    <row r="23" spans="2:15" ht="14" customHeight="1" thickTop="1" thickBot="1" x14ac:dyDescent="0.2">
      <c r="B23" s="121">
        <v>4</v>
      </c>
      <c r="C23" s="102" t="str">
        <f t="shared" si="2"/>
        <v>14 h 30 à 17 h</v>
      </c>
      <c r="D23" s="14">
        <v>0</v>
      </c>
      <c r="E23" s="14">
        <v>9</v>
      </c>
      <c r="F23" s="14">
        <v>10</v>
      </c>
      <c r="G23" s="14">
        <v>0</v>
      </c>
      <c r="H23" s="14">
        <v>0</v>
      </c>
      <c r="I23" s="14">
        <v>15</v>
      </c>
      <c r="J23" s="14">
        <v>0</v>
      </c>
      <c r="K23" s="14">
        <v>0</v>
      </c>
      <c r="L23" s="14">
        <v>0</v>
      </c>
      <c r="M23" s="14">
        <v>0</v>
      </c>
      <c r="N23" s="14">
        <v>22</v>
      </c>
      <c r="O23" s="14">
        <v>0</v>
      </c>
    </row>
    <row r="24" spans="2:15" ht="14" customHeight="1" thickTop="1" thickBot="1" x14ac:dyDescent="0.2">
      <c r="B24" s="121">
        <v>5</v>
      </c>
      <c r="C24" s="102" t="str">
        <f t="shared" si="2"/>
        <v>17 h à 19 h</v>
      </c>
      <c r="D24" s="14">
        <v>0</v>
      </c>
      <c r="E24" s="14">
        <v>9</v>
      </c>
      <c r="F24" s="14">
        <v>35</v>
      </c>
      <c r="G24" s="14">
        <v>0</v>
      </c>
      <c r="H24" s="14">
        <v>0</v>
      </c>
      <c r="I24" s="14">
        <v>40</v>
      </c>
      <c r="J24" s="14">
        <v>30</v>
      </c>
      <c r="K24" s="14">
        <v>0</v>
      </c>
      <c r="L24" s="14">
        <v>0</v>
      </c>
      <c r="M24" s="14">
        <v>0</v>
      </c>
      <c r="N24" s="14">
        <v>25</v>
      </c>
      <c r="O24" s="14">
        <v>0</v>
      </c>
    </row>
    <row r="25" spans="2:15" ht="14" customHeight="1" thickTop="1" thickBot="1" x14ac:dyDescent="0.2">
      <c r="B25" s="121">
        <v>6</v>
      </c>
      <c r="C25" s="102" t="str">
        <f t="shared" si="2"/>
        <v>19 h à 23 h</v>
      </c>
      <c r="D25" s="14">
        <v>0</v>
      </c>
      <c r="E25" s="14">
        <v>29</v>
      </c>
      <c r="F25" s="14">
        <v>19</v>
      </c>
      <c r="G25" s="14">
        <v>0</v>
      </c>
      <c r="H25" s="14">
        <v>0</v>
      </c>
      <c r="I25" s="14">
        <v>15</v>
      </c>
      <c r="J25" s="14">
        <v>0</v>
      </c>
      <c r="K25" s="14">
        <v>0</v>
      </c>
      <c r="L25" s="14">
        <v>0</v>
      </c>
      <c r="M25" s="14">
        <v>0</v>
      </c>
      <c r="N25" s="14">
        <v>22</v>
      </c>
      <c r="O25" s="14">
        <v>0</v>
      </c>
    </row>
    <row r="26" spans="2:15" ht="14" customHeight="1" thickTop="1" thickBot="1" x14ac:dyDescent="0.2">
      <c r="B26" s="121">
        <v>7</v>
      </c>
      <c r="C26" s="102" t="str">
        <f t="shared" si="2"/>
        <v>23 h à 6 h</v>
      </c>
      <c r="D26" s="14">
        <v>0</v>
      </c>
      <c r="E26" s="14">
        <v>0</v>
      </c>
      <c r="F26" s="14">
        <v>0</v>
      </c>
      <c r="G26" s="14">
        <v>0</v>
      </c>
      <c r="H26" s="14">
        <v>0</v>
      </c>
      <c r="I26" s="14">
        <v>0</v>
      </c>
      <c r="J26" s="14">
        <v>0</v>
      </c>
      <c r="K26" s="14">
        <v>0</v>
      </c>
      <c r="L26" s="14">
        <v>0</v>
      </c>
      <c r="M26" s="14">
        <v>0</v>
      </c>
      <c r="N26" s="14">
        <v>0</v>
      </c>
      <c r="O26" s="14">
        <v>0</v>
      </c>
    </row>
    <row r="27" spans="2:15" ht="14" customHeight="1" thickTop="1" thickBot="1" x14ac:dyDescent="0.2">
      <c r="B27" s="19"/>
      <c r="C27" s="20" t="str">
        <f t="shared" ref="C27" si="3">+C18</f>
        <v>Total</v>
      </c>
      <c r="D27" s="300">
        <f t="shared" ref="D27:O27" si="4">+D20+D21+D22+D23+D24+D25+D26</f>
        <v>0</v>
      </c>
      <c r="E27" s="300">
        <f t="shared" si="4"/>
        <v>126</v>
      </c>
      <c r="F27" s="300">
        <f t="shared" si="4"/>
        <v>129</v>
      </c>
      <c r="G27" s="300">
        <f t="shared" si="4"/>
        <v>0</v>
      </c>
      <c r="H27" s="17">
        <f t="shared" si="4"/>
        <v>0</v>
      </c>
      <c r="I27" s="300">
        <f t="shared" si="4"/>
        <v>150</v>
      </c>
      <c r="J27" s="300">
        <f t="shared" si="4"/>
        <v>30</v>
      </c>
      <c r="K27" s="17">
        <f t="shared" si="4"/>
        <v>0</v>
      </c>
      <c r="L27" s="301">
        <f>+L20+L21+L22+L23+L24+L25+L26</f>
        <v>0</v>
      </c>
      <c r="M27" s="24">
        <f t="shared" si="4"/>
        <v>0</v>
      </c>
      <c r="N27" s="24">
        <f t="shared" si="4"/>
        <v>135</v>
      </c>
      <c r="O27" s="24">
        <f t="shared" si="4"/>
        <v>0</v>
      </c>
    </row>
    <row r="28" spans="2:15" ht="14" customHeight="1" thickTop="1" thickBot="1" x14ac:dyDescent="0.2">
      <c r="B28" s="122" t="s">
        <v>2</v>
      </c>
      <c r="C28" s="123" t="str">
        <f>+'Calendrier 2021'!C11</f>
        <v>Mercredi</v>
      </c>
      <c r="D28" s="77" t="s">
        <v>2</v>
      </c>
      <c r="E28" s="77" t="str">
        <f>'Calendrier 2021'!E11</f>
        <v>3 fev 2021</v>
      </c>
      <c r="F28" s="77">
        <f>'Calendrier 2021'!F11</f>
        <v>44258</v>
      </c>
      <c r="G28" s="77" t="s">
        <v>2</v>
      </c>
      <c r="H28" s="77" t="s">
        <v>2</v>
      </c>
      <c r="I28" s="77">
        <f>'Calendrier 2021'!I11</f>
        <v>44349</v>
      </c>
      <c r="J28" s="77" t="s">
        <v>2</v>
      </c>
      <c r="K28" s="77" t="s">
        <v>2</v>
      </c>
      <c r="L28" s="77">
        <f>'Calendrier 2021'!L11</f>
        <v>44440</v>
      </c>
      <c r="M28" s="77" t="s">
        <v>2</v>
      </c>
      <c r="N28" s="77">
        <f>'Calendrier 2021'!N11</f>
        <v>44503</v>
      </c>
      <c r="O28" s="78" t="str">
        <f>'Calendrier 2021'!O11</f>
        <v>1 dec 2021</v>
      </c>
    </row>
    <row r="29" spans="2:15" ht="14" customHeight="1" thickTop="1" thickBot="1" x14ac:dyDescent="0.2">
      <c r="B29" s="18">
        <v>1</v>
      </c>
      <c r="C29" s="100" t="str">
        <f t="shared" ref="C29:C35" si="5">C20</f>
        <v>6 h à 9 h 30</v>
      </c>
      <c r="D29" s="12">
        <v>0</v>
      </c>
      <c r="E29" s="12">
        <v>20</v>
      </c>
      <c r="F29" s="12">
        <v>20</v>
      </c>
      <c r="G29" s="12">
        <v>0</v>
      </c>
      <c r="H29" s="12">
        <v>0</v>
      </c>
      <c r="I29" s="12">
        <v>20</v>
      </c>
      <c r="J29" s="12">
        <v>0</v>
      </c>
      <c r="K29" s="12">
        <v>0</v>
      </c>
      <c r="L29" s="12">
        <v>20</v>
      </c>
      <c r="M29" s="12">
        <v>0</v>
      </c>
      <c r="N29" s="12">
        <v>20</v>
      </c>
      <c r="O29" s="12">
        <v>20</v>
      </c>
    </row>
    <row r="30" spans="2:15" ht="14" customHeight="1" thickTop="1" thickBot="1" x14ac:dyDescent="0.2">
      <c r="B30" s="121">
        <v>2</v>
      </c>
      <c r="C30" s="102" t="str">
        <f t="shared" si="5"/>
        <v>9 h 30 à 11 h 30</v>
      </c>
      <c r="D30" s="14">
        <v>0</v>
      </c>
      <c r="E30" s="14">
        <v>9</v>
      </c>
      <c r="F30" s="14">
        <v>10</v>
      </c>
      <c r="G30" s="14">
        <v>0</v>
      </c>
      <c r="H30" s="14">
        <v>0</v>
      </c>
      <c r="I30" s="14">
        <v>15</v>
      </c>
      <c r="J30" s="14">
        <v>0</v>
      </c>
      <c r="K30" s="14">
        <v>0</v>
      </c>
      <c r="L30" s="14">
        <v>25</v>
      </c>
      <c r="M30" s="14">
        <v>0</v>
      </c>
      <c r="N30" s="14">
        <v>21</v>
      </c>
      <c r="O30" s="14">
        <v>25</v>
      </c>
    </row>
    <row r="31" spans="2:15" ht="14" customHeight="1" thickTop="1" thickBot="1" x14ac:dyDescent="0.2">
      <c r="B31" s="121">
        <v>3</v>
      </c>
      <c r="C31" s="102" t="str">
        <f t="shared" si="5"/>
        <v>11 h 30 à 14 h 30</v>
      </c>
      <c r="D31" s="14">
        <v>0</v>
      </c>
      <c r="E31" s="14">
        <v>50</v>
      </c>
      <c r="F31" s="14">
        <v>35</v>
      </c>
      <c r="G31" s="14">
        <v>0</v>
      </c>
      <c r="H31" s="14">
        <v>0</v>
      </c>
      <c r="I31" s="14">
        <v>45</v>
      </c>
      <c r="J31" s="14">
        <v>0</v>
      </c>
      <c r="K31" s="14">
        <v>0</v>
      </c>
      <c r="L31" s="14">
        <v>25</v>
      </c>
      <c r="M31" s="14">
        <v>0</v>
      </c>
      <c r="N31" s="14">
        <v>25</v>
      </c>
      <c r="O31" s="14">
        <v>25</v>
      </c>
    </row>
    <row r="32" spans="2:15" ht="14" customHeight="1" thickTop="1" thickBot="1" x14ac:dyDescent="0.2">
      <c r="B32" s="121">
        <v>4</v>
      </c>
      <c r="C32" s="102" t="str">
        <f t="shared" si="5"/>
        <v>14 h 30 à 17 h</v>
      </c>
      <c r="D32" s="14">
        <v>0</v>
      </c>
      <c r="E32" s="14">
        <v>9</v>
      </c>
      <c r="F32" s="14">
        <v>10</v>
      </c>
      <c r="G32" s="14">
        <v>0</v>
      </c>
      <c r="H32" s="14">
        <v>0</v>
      </c>
      <c r="I32" s="14">
        <v>15</v>
      </c>
      <c r="J32" s="14">
        <v>0</v>
      </c>
      <c r="K32" s="14">
        <v>0</v>
      </c>
      <c r="L32" s="14">
        <v>25</v>
      </c>
      <c r="M32" s="14">
        <v>0</v>
      </c>
      <c r="N32" s="14">
        <v>22</v>
      </c>
      <c r="O32" s="14">
        <v>25</v>
      </c>
    </row>
    <row r="33" spans="2:15" ht="14" customHeight="1" thickTop="1" thickBot="1" x14ac:dyDescent="0.2">
      <c r="B33" s="121">
        <v>5</v>
      </c>
      <c r="C33" s="102" t="str">
        <f t="shared" si="5"/>
        <v>17 h à 19 h</v>
      </c>
      <c r="D33" s="14">
        <v>0</v>
      </c>
      <c r="E33" s="14">
        <v>9</v>
      </c>
      <c r="F33" s="14">
        <v>35</v>
      </c>
      <c r="G33" s="14">
        <v>0</v>
      </c>
      <c r="H33" s="14">
        <v>0</v>
      </c>
      <c r="I33" s="14">
        <v>40</v>
      </c>
      <c r="J33" s="14">
        <v>0</v>
      </c>
      <c r="K33" s="14">
        <v>0</v>
      </c>
      <c r="L33" s="14">
        <v>25</v>
      </c>
      <c r="M33" s="14">
        <v>0</v>
      </c>
      <c r="N33" s="14">
        <v>25</v>
      </c>
      <c r="O33" s="14">
        <v>25</v>
      </c>
    </row>
    <row r="34" spans="2:15" ht="14" customHeight="1" thickTop="1" thickBot="1" x14ac:dyDescent="0.2">
      <c r="B34" s="121">
        <v>6</v>
      </c>
      <c r="C34" s="102" t="str">
        <f t="shared" si="5"/>
        <v>19 h à 23 h</v>
      </c>
      <c r="D34" s="14">
        <v>0</v>
      </c>
      <c r="E34" s="14">
        <v>29</v>
      </c>
      <c r="F34" s="14">
        <v>19</v>
      </c>
      <c r="G34" s="14">
        <v>0</v>
      </c>
      <c r="H34" s="14">
        <v>0</v>
      </c>
      <c r="I34" s="14">
        <v>15</v>
      </c>
      <c r="J34" s="14">
        <v>0</v>
      </c>
      <c r="K34" s="14">
        <v>0</v>
      </c>
      <c r="L34" s="14">
        <v>25</v>
      </c>
      <c r="M34" s="14">
        <v>0</v>
      </c>
      <c r="N34" s="14">
        <v>22</v>
      </c>
      <c r="O34" s="14">
        <v>25</v>
      </c>
    </row>
    <row r="35" spans="2:15" ht="14" customHeight="1" thickTop="1" thickBot="1" x14ac:dyDescent="0.2">
      <c r="B35" s="121">
        <v>7</v>
      </c>
      <c r="C35" s="102" t="str">
        <f t="shared" si="5"/>
        <v>23 h à 6 h</v>
      </c>
      <c r="D35" s="14">
        <v>0</v>
      </c>
      <c r="E35" s="14">
        <v>0</v>
      </c>
      <c r="F35" s="14">
        <v>0</v>
      </c>
      <c r="G35" s="14">
        <v>0</v>
      </c>
      <c r="H35" s="14">
        <v>0</v>
      </c>
      <c r="I35" s="14">
        <v>0</v>
      </c>
      <c r="J35" s="14">
        <v>0</v>
      </c>
      <c r="K35" s="14">
        <v>0</v>
      </c>
      <c r="L35" s="14">
        <v>0</v>
      </c>
      <c r="M35" s="14">
        <v>0</v>
      </c>
      <c r="N35" s="14">
        <v>0</v>
      </c>
      <c r="O35" s="14">
        <v>0</v>
      </c>
    </row>
    <row r="36" spans="2:15" ht="14" customHeight="1" thickTop="1" thickBot="1" x14ac:dyDescent="0.2">
      <c r="B36" s="19"/>
      <c r="C36" s="21" t="str">
        <f t="shared" ref="C36" si="6">+C18</f>
        <v>Total</v>
      </c>
      <c r="D36" s="17">
        <f t="shared" ref="D36:O36" si="7">+D29+D30+D31+D32+D33+D34+D35</f>
        <v>0</v>
      </c>
      <c r="E36" s="17">
        <f t="shared" si="7"/>
        <v>126</v>
      </c>
      <c r="F36" s="17">
        <f t="shared" si="7"/>
        <v>129</v>
      </c>
      <c r="G36" s="24">
        <f t="shared" si="7"/>
        <v>0</v>
      </c>
      <c r="H36" s="17">
        <f t="shared" si="7"/>
        <v>0</v>
      </c>
      <c r="I36" s="24">
        <f t="shared" si="7"/>
        <v>150</v>
      </c>
      <c r="J36" s="24">
        <f t="shared" si="7"/>
        <v>0</v>
      </c>
      <c r="K36" s="17">
        <f t="shared" si="7"/>
        <v>0</v>
      </c>
      <c r="L36" s="24">
        <f t="shared" si="7"/>
        <v>145</v>
      </c>
      <c r="M36" s="24">
        <f t="shared" si="7"/>
        <v>0</v>
      </c>
      <c r="N36" s="17">
        <f t="shared" si="7"/>
        <v>135</v>
      </c>
      <c r="O36" s="24">
        <f t="shared" si="7"/>
        <v>145</v>
      </c>
    </row>
    <row r="37" spans="2:15" ht="14" customHeight="1" thickTop="1" thickBot="1" x14ac:dyDescent="0.2">
      <c r="B37" s="124" t="s">
        <v>2</v>
      </c>
      <c r="C37" s="125" t="str">
        <f>+'Calendrier 2021'!C12</f>
        <v>Jeudi</v>
      </c>
      <c r="D37" s="79" t="s">
        <v>2</v>
      </c>
      <c r="E37" s="77" t="str">
        <f>'Calendrier 2021'!E12</f>
        <v>4 fev 2021</v>
      </c>
      <c r="F37" s="77">
        <f>'Calendrier 2021'!F12</f>
        <v>44259</v>
      </c>
      <c r="G37" s="77">
        <f>'Calendrier 2021'!G12</f>
        <v>44287</v>
      </c>
      <c r="H37" s="77" t="s">
        <v>2</v>
      </c>
      <c r="I37" s="77">
        <f>'Calendrier 2021'!I12</f>
        <v>44350</v>
      </c>
      <c r="J37" s="77">
        <f>'Calendrier 2021'!J12</f>
        <v>44378</v>
      </c>
      <c r="K37" s="77" t="s">
        <v>2</v>
      </c>
      <c r="L37" s="77">
        <f>'Calendrier 2021'!L12</f>
        <v>44441</v>
      </c>
      <c r="M37" s="77" t="s">
        <v>2</v>
      </c>
      <c r="N37" s="77">
        <f>'Calendrier 2021'!N12</f>
        <v>44504</v>
      </c>
      <c r="O37" s="78" t="str">
        <f>'Calendrier 2021'!O12</f>
        <v>2 dec 2021</v>
      </c>
    </row>
    <row r="38" spans="2:15" ht="14" customHeight="1" thickTop="1" thickBot="1" x14ac:dyDescent="0.2">
      <c r="B38" s="18">
        <v>1</v>
      </c>
      <c r="C38" s="100" t="str">
        <f t="shared" ref="C38:C44" si="8">C29</f>
        <v>6 h à 9 h 30</v>
      </c>
      <c r="D38" s="12">
        <v>0</v>
      </c>
      <c r="E38" s="12">
        <v>20</v>
      </c>
      <c r="F38" s="12">
        <v>20</v>
      </c>
      <c r="G38" s="12">
        <v>20</v>
      </c>
      <c r="H38" s="12">
        <v>0</v>
      </c>
      <c r="I38" s="12">
        <v>20</v>
      </c>
      <c r="J38" s="12">
        <v>20</v>
      </c>
      <c r="K38" s="12">
        <v>0</v>
      </c>
      <c r="L38" s="12">
        <v>0</v>
      </c>
      <c r="M38" s="12">
        <v>0</v>
      </c>
      <c r="N38" s="12">
        <v>20</v>
      </c>
      <c r="O38" s="12">
        <v>20</v>
      </c>
    </row>
    <row r="39" spans="2:15" ht="14" customHeight="1" thickTop="1" thickBot="1" x14ac:dyDescent="0.2">
      <c r="B39" s="121">
        <v>2</v>
      </c>
      <c r="C39" s="102" t="str">
        <f t="shared" si="8"/>
        <v>9 h 30 à 11 h 30</v>
      </c>
      <c r="D39" s="14">
        <v>0</v>
      </c>
      <c r="E39" s="14">
        <v>9</v>
      </c>
      <c r="F39" s="14">
        <v>10</v>
      </c>
      <c r="G39" s="14">
        <v>14</v>
      </c>
      <c r="H39" s="14">
        <v>0</v>
      </c>
      <c r="I39" s="14">
        <v>15</v>
      </c>
      <c r="J39" s="14">
        <v>10</v>
      </c>
      <c r="K39" s="14">
        <v>0</v>
      </c>
      <c r="L39" s="14">
        <v>25</v>
      </c>
      <c r="M39" s="14">
        <v>0</v>
      </c>
      <c r="N39" s="14">
        <v>21</v>
      </c>
      <c r="O39" s="14">
        <v>25</v>
      </c>
    </row>
    <row r="40" spans="2:15" ht="14" customHeight="1" thickTop="1" thickBot="1" x14ac:dyDescent="0.2">
      <c r="B40" s="121">
        <v>3</v>
      </c>
      <c r="C40" s="102" t="str">
        <f t="shared" si="8"/>
        <v>11 h 30 à 14 h 30</v>
      </c>
      <c r="D40" s="14">
        <v>0</v>
      </c>
      <c r="E40" s="14">
        <v>50</v>
      </c>
      <c r="F40" s="14">
        <v>35</v>
      </c>
      <c r="G40" s="14">
        <v>41</v>
      </c>
      <c r="H40" s="14">
        <v>0</v>
      </c>
      <c r="I40" s="14">
        <v>45</v>
      </c>
      <c r="J40" s="14">
        <v>50</v>
      </c>
      <c r="K40" s="14">
        <v>0</v>
      </c>
      <c r="L40" s="14">
        <v>25</v>
      </c>
      <c r="M40" s="14">
        <v>0</v>
      </c>
      <c r="N40" s="14">
        <v>25</v>
      </c>
      <c r="O40" s="14">
        <v>25</v>
      </c>
    </row>
    <row r="41" spans="2:15" ht="14" customHeight="1" thickTop="1" thickBot="1" x14ac:dyDescent="0.2">
      <c r="B41" s="121">
        <v>4</v>
      </c>
      <c r="C41" s="102" t="str">
        <f t="shared" si="8"/>
        <v>14 h 30 à 17 h</v>
      </c>
      <c r="D41" s="14">
        <v>0</v>
      </c>
      <c r="E41" s="14">
        <v>9</v>
      </c>
      <c r="F41" s="14">
        <v>10</v>
      </c>
      <c r="G41" s="14">
        <v>11</v>
      </c>
      <c r="H41" s="14">
        <v>0</v>
      </c>
      <c r="I41" s="14">
        <v>15</v>
      </c>
      <c r="J41" s="14">
        <v>20</v>
      </c>
      <c r="K41" s="14">
        <v>0</v>
      </c>
      <c r="L41" s="14">
        <v>25</v>
      </c>
      <c r="M41" s="14">
        <v>0</v>
      </c>
      <c r="N41" s="14">
        <v>22</v>
      </c>
      <c r="O41" s="14">
        <v>25</v>
      </c>
    </row>
    <row r="42" spans="2:15" ht="14" customHeight="1" thickTop="1" thickBot="1" x14ac:dyDescent="0.2">
      <c r="B42" s="121">
        <v>5</v>
      </c>
      <c r="C42" s="102" t="str">
        <f t="shared" si="8"/>
        <v>17 h à 19 h</v>
      </c>
      <c r="D42" s="14">
        <v>0</v>
      </c>
      <c r="E42" s="14">
        <v>9</v>
      </c>
      <c r="F42" s="14">
        <v>35</v>
      </c>
      <c r="G42" s="14">
        <v>41</v>
      </c>
      <c r="H42" s="14">
        <v>0</v>
      </c>
      <c r="I42" s="14">
        <v>40</v>
      </c>
      <c r="J42" s="14">
        <v>16</v>
      </c>
      <c r="K42" s="14">
        <v>0</v>
      </c>
      <c r="L42" s="14">
        <v>25</v>
      </c>
      <c r="M42" s="14">
        <v>0</v>
      </c>
      <c r="N42" s="14">
        <v>25</v>
      </c>
      <c r="O42" s="14">
        <v>25</v>
      </c>
    </row>
    <row r="43" spans="2:15" ht="14" customHeight="1" thickTop="1" thickBot="1" x14ac:dyDescent="0.2">
      <c r="B43" s="121">
        <v>6</v>
      </c>
      <c r="C43" s="102" t="str">
        <f t="shared" si="8"/>
        <v>19 h à 23 h</v>
      </c>
      <c r="D43" s="14">
        <v>0</v>
      </c>
      <c r="E43" s="14">
        <v>29</v>
      </c>
      <c r="F43" s="14">
        <v>19</v>
      </c>
      <c r="G43" s="14">
        <v>11</v>
      </c>
      <c r="H43" s="14">
        <v>0</v>
      </c>
      <c r="I43" s="14">
        <v>15</v>
      </c>
      <c r="J43" s="14">
        <v>40</v>
      </c>
      <c r="K43" s="14">
        <v>0</v>
      </c>
      <c r="L43" s="14">
        <v>25</v>
      </c>
      <c r="M43" s="14">
        <v>0</v>
      </c>
      <c r="N43" s="14">
        <v>22</v>
      </c>
      <c r="O43" s="14">
        <v>25</v>
      </c>
    </row>
    <row r="44" spans="2:15" ht="14" customHeight="1" thickTop="1" thickBot="1" x14ac:dyDescent="0.2">
      <c r="B44" s="121">
        <v>7</v>
      </c>
      <c r="C44" s="102" t="str">
        <f t="shared" si="8"/>
        <v>23 h à 6 h</v>
      </c>
      <c r="D44" s="14">
        <v>0</v>
      </c>
      <c r="E44" s="14">
        <v>0</v>
      </c>
      <c r="F44" s="14">
        <v>0</v>
      </c>
      <c r="G44" s="14">
        <v>0</v>
      </c>
      <c r="H44" s="14">
        <v>0</v>
      </c>
      <c r="I44" s="14">
        <v>0</v>
      </c>
      <c r="J44" s="14">
        <v>0</v>
      </c>
      <c r="K44" s="14">
        <v>0</v>
      </c>
      <c r="L44" s="14">
        <v>0</v>
      </c>
      <c r="M44" s="14">
        <v>0</v>
      </c>
      <c r="N44" s="14">
        <v>0</v>
      </c>
      <c r="O44" s="14">
        <v>0</v>
      </c>
    </row>
    <row r="45" spans="2:15" ht="14" customHeight="1" thickTop="1" thickBot="1" x14ac:dyDescent="0.2">
      <c r="B45" s="19"/>
      <c r="C45" s="296" t="str">
        <f>+C36</f>
        <v>Total</v>
      </c>
      <c r="D45" s="17">
        <f t="shared" ref="D45:K45" si="9">+D38+D39+D40+D41+D42+D43+D44</f>
        <v>0</v>
      </c>
      <c r="E45" s="17">
        <f t="shared" si="9"/>
        <v>126</v>
      </c>
      <c r="F45" s="17">
        <f t="shared" si="9"/>
        <v>129</v>
      </c>
      <c r="G45" s="24">
        <f t="shared" si="9"/>
        <v>138</v>
      </c>
      <c r="H45" s="17">
        <f t="shared" si="9"/>
        <v>0</v>
      </c>
      <c r="I45" s="17">
        <f t="shared" si="9"/>
        <v>150</v>
      </c>
      <c r="J45" s="24">
        <f t="shared" si="9"/>
        <v>156</v>
      </c>
      <c r="K45" s="17">
        <f t="shared" si="9"/>
        <v>0</v>
      </c>
      <c r="L45" s="24">
        <f>+L38+L39+L40+L41+L42+L43+L44</f>
        <v>125</v>
      </c>
      <c r="M45" s="24">
        <f>+M38+M39+M40+M41+M42+M43+M44</f>
        <v>0</v>
      </c>
      <c r="N45" s="17">
        <f>+N38+N39+N40+N41+N42+N43+N44</f>
        <v>135</v>
      </c>
      <c r="O45" s="24">
        <f>+O38+O39+O40+O41+O42+O43+O44</f>
        <v>145</v>
      </c>
    </row>
    <row r="46" spans="2:15" ht="14" customHeight="1" thickTop="1" thickBot="1" x14ac:dyDescent="0.2">
      <c r="B46" s="124" t="s">
        <v>2</v>
      </c>
      <c r="C46" s="297" t="str">
        <f>+'Calendrier 2021'!C13</f>
        <v>Vendredi</v>
      </c>
      <c r="D46" s="77">
        <f>'Calendrier 2021'!D13</f>
        <v>44197</v>
      </c>
      <c r="E46" s="77" t="str">
        <f>'Calendrier 2021'!E13</f>
        <v>5 fev 2021</v>
      </c>
      <c r="F46" s="77">
        <f>'Calendrier 2021'!F13</f>
        <v>44260</v>
      </c>
      <c r="G46" s="77">
        <f>'Calendrier 2021'!G13</f>
        <v>44288</v>
      </c>
      <c r="H46" s="77" t="s">
        <v>2</v>
      </c>
      <c r="I46" s="77">
        <f>'Calendrier 2021'!I13</f>
        <v>44351</v>
      </c>
      <c r="J46" s="77">
        <f>'Calendrier 2021'!J13</f>
        <v>44379</v>
      </c>
      <c r="K46" s="77" t="s">
        <v>2</v>
      </c>
      <c r="L46" s="77">
        <f>'Calendrier 2021'!L13</f>
        <v>44442</v>
      </c>
      <c r="M46" s="77">
        <f>'Calendrier 2021'!M13</f>
        <v>44470</v>
      </c>
      <c r="N46" s="77">
        <f>'Calendrier 2021'!N13</f>
        <v>44505</v>
      </c>
      <c r="O46" s="78" t="str">
        <f>'Calendrier 2021'!O13</f>
        <v>3 dec 2021</v>
      </c>
    </row>
    <row r="47" spans="2:15" ht="14" customHeight="1" thickTop="1" thickBot="1" x14ac:dyDescent="0.2">
      <c r="B47" s="18">
        <v>1</v>
      </c>
      <c r="C47" s="298" t="str">
        <f t="shared" ref="C47:C53" si="10">C38</f>
        <v>6 h à 9 h 30</v>
      </c>
      <c r="D47" s="12">
        <v>20</v>
      </c>
      <c r="E47" s="12">
        <v>20</v>
      </c>
      <c r="F47" s="12">
        <v>20</v>
      </c>
      <c r="G47" s="12">
        <v>20</v>
      </c>
      <c r="H47" s="12">
        <v>0</v>
      </c>
      <c r="I47" s="12">
        <v>20</v>
      </c>
      <c r="J47" s="12">
        <v>20</v>
      </c>
      <c r="K47" s="12">
        <v>0</v>
      </c>
      <c r="L47" s="12">
        <v>20</v>
      </c>
      <c r="M47" s="12">
        <v>20</v>
      </c>
      <c r="N47" s="12">
        <v>20</v>
      </c>
      <c r="O47" s="12">
        <v>20</v>
      </c>
    </row>
    <row r="48" spans="2:15" ht="14" customHeight="1" thickTop="1" thickBot="1" x14ac:dyDescent="0.2">
      <c r="B48" s="121">
        <v>2</v>
      </c>
      <c r="C48" s="102" t="str">
        <f t="shared" si="10"/>
        <v>9 h 30 à 11 h 30</v>
      </c>
      <c r="D48" s="14">
        <v>25</v>
      </c>
      <c r="E48" s="14">
        <v>9</v>
      </c>
      <c r="F48" s="14">
        <v>10</v>
      </c>
      <c r="G48" s="14">
        <v>14</v>
      </c>
      <c r="H48" s="14">
        <v>0</v>
      </c>
      <c r="I48" s="14">
        <v>15</v>
      </c>
      <c r="J48" s="14">
        <v>10</v>
      </c>
      <c r="K48" s="14">
        <v>0</v>
      </c>
      <c r="L48" s="14">
        <v>25</v>
      </c>
      <c r="M48" s="14">
        <v>24</v>
      </c>
      <c r="N48" s="14">
        <v>21</v>
      </c>
      <c r="O48" s="14">
        <v>25</v>
      </c>
    </row>
    <row r="49" spans="2:15" ht="14" customHeight="1" thickTop="1" thickBot="1" x14ac:dyDescent="0.2">
      <c r="B49" s="121">
        <v>3</v>
      </c>
      <c r="C49" s="102" t="str">
        <f t="shared" si="10"/>
        <v>11 h 30 à 14 h 30</v>
      </c>
      <c r="D49" s="14">
        <v>25</v>
      </c>
      <c r="E49" s="14">
        <v>50</v>
      </c>
      <c r="F49" s="14">
        <v>35</v>
      </c>
      <c r="G49" s="14">
        <v>41</v>
      </c>
      <c r="H49" s="14">
        <v>0</v>
      </c>
      <c r="I49" s="14">
        <v>45</v>
      </c>
      <c r="J49" s="14">
        <v>50</v>
      </c>
      <c r="K49" s="14">
        <v>0</v>
      </c>
      <c r="L49" s="14">
        <v>25</v>
      </c>
      <c r="M49" s="14">
        <v>24</v>
      </c>
      <c r="N49" s="14">
        <v>25</v>
      </c>
      <c r="O49" s="14">
        <v>25</v>
      </c>
    </row>
    <row r="50" spans="2:15" ht="14" customHeight="1" thickTop="1" thickBot="1" x14ac:dyDescent="0.2">
      <c r="B50" s="121">
        <v>4</v>
      </c>
      <c r="C50" s="102" t="str">
        <f t="shared" si="10"/>
        <v>14 h 30 à 17 h</v>
      </c>
      <c r="D50" s="14">
        <v>20</v>
      </c>
      <c r="E50" s="14">
        <v>9</v>
      </c>
      <c r="F50" s="14">
        <v>10</v>
      </c>
      <c r="G50" s="14">
        <v>11</v>
      </c>
      <c r="H50" s="14">
        <v>0</v>
      </c>
      <c r="I50" s="14">
        <v>15</v>
      </c>
      <c r="J50" s="14">
        <v>20</v>
      </c>
      <c r="K50" s="14">
        <v>0</v>
      </c>
      <c r="L50" s="14">
        <v>25</v>
      </c>
      <c r="M50" s="14">
        <v>24</v>
      </c>
      <c r="N50" s="14">
        <v>22</v>
      </c>
      <c r="O50" s="14">
        <v>25</v>
      </c>
    </row>
    <row r="51" spans="2:15" ht="14" customHeight="1" thickTop="1" thickBot="1" x14ac:dyDescent="0.2">
      <c r="B51" s="121">
        <v>5</v>
      </c>
      <c r="C51" s="102" t="str">
        <f t="shared" si="10"/>
        <v>17 h à 19 h</v>
      </c>
      <c r="D51" s="14">
        <v>25</v>
      </c>
      <c r="E51" s="14">
        <v>9</v>
      </c>
      <c r="F51" s="14">
        <v>35</v>
      </c>
      <c r="G51" s="14">
        <v>41</v>
      </c>
      <c r="H51" s="14">
        <v>0</v>
      </c>
      <c r="I51" s="14">
        <v>40</v>
      </c>
      <c r="J51" s="14">
        <v>16</v>
      </c>
      <c r="K51" s="14">
        <v>0</v>
      </c>
      <c r="L51" s="14">
        <v>25</v>
      </c>
      <c r="M51" s="14">
        <v>24</v>
      </c>
      <c r="N51" s="14">
        <v>25</v>
      </c>
      <c r="O51" s="14">
        <v>25</v>
      </c>
    </row>
    <row r="52" spans="2:15" ht="14" customHeight="1" thickTop="1" thickBot="1" x14ac:dyDescent="0.2">
      <c r="B52" s="121">
        <v>6</v>
      </c>
      <c r="C52" s="102" t="str">
        <f t="shared" si="10"/>
        <v>19 h à 23 h</v>
      </c>
      <c r="D52" s="14">
        <v>20</v>
      </c>
      <c r="E52" s="14">
        <v>29</v>
      </c>
      <c r="F52" s="14">
        <v>19</v>
      </c>
      <c r="G52" s="14">
        <v>11</v>
      </c>
      <c r="H52" s="14">
        <v>0</v>
      </c>
      <c r="I52" s="14">
        <v>15</v>
      </c>
      <c r="J52" s="14">
        <v>40</v>
      </c>
      <c r="K52" s="14">
        <v>0</v>
      </c>
      <c r="L52" s="14">
        <v>25</v>
      </c>
      <c r="M52" s="14">
        <v>24</v>
      </c>
      <c r="N52" s="14">
        <v>22</v>
      </c>
      <c r="O52" s="14">
        <v>25</v>
      </c>
    </row>
    <row r="53" spans="2:15" ht="14" customHeight="1" thickTop="1" thickBot="1" x14ac:dyDescent="0.2">
      <c r="B53" s="121">
        <v>7</v>
      </c>
      <c r="C53" s="102" t="str">
        <f t="shared" si="10"/>
        <v>23 h à 6 h</v>
      </c>
      <c r="D53" s="14">
        <v>0</v>
      </c>
      <c r="E53" s="14">
        <v>0</v>
      </c>
      <c r="F53" s="14">
        <v>0</v>
      </c>
      <c r="G53" s="14">
        <v>0</v>
      </c>
      <c r="H53" s="14">
        <v>0</v>
      </c>
      <c r="I53" s="14">
        <v>0</v>
      </c>
      <c r="J53" s="14">
        <v>0</v>
      </c>
      <c r="K53" s="14">
        <v>0</v>
      </c>
      <c r="L53" s="14">
        <v>0</v>
      </c>
      <c r="M53" s="14">
        <v>0</v>
      </c>
      <c r="N53" s="14">
        <v>0</v>
      </c>
      <c r="O53" s="14">
        <v>0</v>
      </c>
    </row>
    <row r="54" spans="2:15" ht="14" customHeight="1" thickTop="1" thickBot="1" x14ac:dyDescent="0.2">
      <c r="B54" s="19"/>
      <c r="C54" s="21" t="str">
        <f t="shared" ref="C54" si="11">+C45</f>
        <v>Total</v>
      </c>
      <c r="D54" s="17">
        <f t="shared" ref="D54:M54" si="12">+D47+D48+D49+D50+D51+D52+D53</f>
        <v>135</v>
      </c>
      <c r="E54" s="17">
        <f t="shared" si="12"/>
        <v>126</v>
      </c>
      <c r="F54" s="17">
        <f t="shared" si="12"/>
        <v>129</v>
      </c>
      <c r="G54" s="24">
        <f t="shared" si="12"/>
        <v>138</v>
      </c>
      <c r="H54" s="17">
        <f t="shared" si="12"/>
        <v>0</v>
      </c>
      <c r="I54" s="17">
        <f t="shared" si="12"/>
        <v>150</v>
      </c>
      <c r="J54" s="24">
        <f t="shared" si="12"/>
        <v>156</v>
      </c>
      <c r="K54" s="17">
        <f t="shared" si="12"/>
        <v>0</v>
      </c>
      <c r="L54" s="17">
        <f t="shared" si="12"/>
        <v>145</v>
      </c>
      <c r="M54" s="24">
        <f t="shared" si="12"/>
        <v>140</v>
      </c>
      <c r="N54" s="17">
        <f>+N47+N48+N49+N50+N51+N52+N53</f>
        <v>135</v>
      </c>
      <c r="O54" s="17">
        <f>+O47+O48+O49+O50+O51+O52+O53</f>
        <v>145</v>
      </c>
    </row>
    <row r="55" spans="2:15" ht="14" customHeight="1" thickTop="1" thickBot="1" x14ac:dyDescent="0.2">
      <c r="B55" s="124" t="s">
        <v>2</v>
      </c>
      <c r="C55" s="125" t="str">
        <f>'Calendrier 2021'!C14</f>
        <v>Samedi</v>
      </c>
      <c r="D55" s="77">
        <f>'Calendrier 2021'!D14</f>
        <v>44198</v>
      </c>
      <c r="E55" s="77" t="str">
        <f>'Calendrier 2021'!E14</f>
        <v>6 fev 2021</v>
      </c>
      <c r="F55" s="77">
        <f>'Calendrier 2021'!F14</f>
        <v>44261</v>
      </c>
      <c r="G55" s="77">
        <f>'Calendrier 2021'!G14</f>
        <v>44289</v>
      </c>
      <c r="H55" s="77">
        <f>'Calendrier 2021'!H14</f>
        <v>44317</v>
      </c>
      <c r="I55" s="77">
        <f>'Calendrier 2021'!I14</f>
        <v>44352</v>
      </c>
      <c r="J55" s="77">
        <f>'Calendrier 2021'!J14</f>
        <v>44380</v>
      </c>
      <c r="K55" s="77" t="s">
        <v>2</v>
      </c>
      <c r="L55" s="77">
        <f>'Calendrier 2021'!L14</f>
        <v>44443</v>
      </c>
      <c r="M55" s="77">
        <f>'Calendrier 2021'!M14</f>
        <v>44471</v>
      </c>
      <c r="N55" s="77">
        <f>'Calendrier 2021'!N14</f>
        <v>44506</v>
      </c>
      <c r="O55" s="78" t="str">
        <f>'Calendrier 2021'!O14</f>
        <v>4 dec 2021</v>
      </c>
    </row>
    <row r="56" spans="2:15" ht="14" customHeight="1" thickTop="1" thickBot="1" x14ac:dyDescent="0.2">
      <c r="B56" s="18">
        <v>1</v>
      </c>
      <c r="C56" s="100" t="str">
        <f t="shared" ref="C56:C62" si="13">C47</f>
        <v>6 h à 9 h 30</v>
      </c>
      <c r="D56" s="12">
        <v>20</v>
      </c>
      <c r="E56" s="12">
        <v>20</v>
      </c>
      <c r="F56" s="12">
        <v>20</v>
      </c>
      <c r="G56" s="12">
        <v>20</v>
      </c>
      <c r="H56" s="12">
        <v>20</v>
      </c>
      <c r="I56" s="12">
        <v>20</v>
      </c>
      <c r="J56" s="12">
        <v>20</v>
      </c>
      <c r="K56" s="12">
        <v>0</v>
      </c>
      <c r="L56" s="12">
        <v>20</v>
      </c>
      <c r="M56" s="12">
        <v>20</v>
      </c>
      <c r="N56" s="12">
        <v>20</v>
      </c>
      <c r="O56" s="12">
        <v>20</v>
      </c>
    </row>
    <row r="57" spans="2:15" ht="14" customHeight="1" thickTop="1" thickBot="1" x14ac:dyDescent="0.2">
      <c r="B57" s="18">
        <v>2</v>
      </c>
      <c r="C57" s="102" t="str">
        <f t="shared" si="13"/>
        <v>9 h 30 à 11 h 30</v>
      </c>
      <c r="D57" s="14">
        <v>25</v>
      </c>
      <c r="E57" s="14">
        <v>9</v>
      </c>
      <c r="F57" s="14">
        <v>10</v>
      </c>
      <c r="G57" s="14">
        <v>14</v>
      </c>
      <c r="H57" s="14">
        <v>45</v>
      </c>
      <c r="I57" s="14">
        <v>15</v>
      </c>
      <c r="J57" s="14">
        <v>10</v>
      </c>
      <c r="K57" s="14">
        <v>0</v>
      </c>
      <c r="L57" s="14">
        <v>25</v>
      </c>
      <c r="M57" s="14">
        <v>24</v>
      </c>
      <c r="N57" s="14">
        <v>21</v>
      </c>
      <c r="O57" s="14">
        <v>25</v>
      </c>
    </row>
    <row r="58" spans="2:15" ht="14" customHeight="1" thickTop="1" thickBot="1" x14ac:dyDescent="0.2">
      <c r="B58" s="18">
        <v>3</v>
      </c>
      <c r="C58" s="102" t="str">
        <f t="shared" si="13"/>
        <v>11 h 30 à 14 h 30</v>
      </c>
      <c r="D58" s="14">
        <v>25</v>
      </c>
      <c r="E58" s="14">
        <v>50</v>
      </c>
      <c r="F58" s="14">
        <v>35</v>
      </c>
      <c r="G58" s="14">
        <v>41</v>
      </c>
      <c r="H58" s="14">
        <v>46</v>
      </c>
      <c r="I58" s="14">
        <v>45</v>
      </c>
      <c r="J58" s="14">
        <v>50</v>
      </c>
      <c r="K58" s="14">
        <v>0</v>
      </c>
      <c r="L58" s="14">
        <v>25</v>
      </c>
      <c r="M58" s="14">
        <v>24</v>
      </c>
      <c r="N58" s="14">
        <v>25</v>
      </c>
      <c r="O58" s="14">
        <v>25</v>
      </c>
    </row>
    <row r="59" spans="2:15" ht="14" customHeight="1" thickTop="1" thickBot="1" x14ac:dyDescent="0.2">
      <c r="B59" s="18">
        <v>4</v>
      </c>
      <c r="C59" s="102" t="str">
        <f t="shared" si="13"/>
        <v>14 h 30 à 17 h</v>
      </c>
      <c r="D59" s="14">
        <v>20</v>
      </c>
      <c r="E59" s="14">
        <v>9</v>
      </c>
      <c r="F59" s="14">
        <v>10</v>
      </c>
      <c r="G59" s="14">
        <v>11</v>
      </c>
      <c r="H59" s="14">
        <v>10</v>
      </c>
      <c r="I59" s="14">
        <v>15</v>
      </c>
      <c r="J59" s="14">
        <v>20</v>
      </c>
      <c r="K59" s="14">
        <v>0</v>
      </c>
      <c r="L59" s="14">
        <v>25</v>
      </c>
      <c r="M59" s="14">
        <v>24</v>
      </c>
      <c r="N59" s="14">
        <v>22</v>
      </c>
      <c r="O59" s="14">
        <v>25</v>
      </c>
    </row>
    <row r="60" spans="2:15" ht="14" customHeight="1" thickTop="1" thickBot="1" x14ac:dyDescent="0.2">
      <c r="B60" s="18">
        <v>5</v>
      </c>
      <c r="C60" s="102" t="str">
        <f t="shared" si="13"/>
        <v>17 h à 19 h</v>
      </c>
      <c r="D60" s="14">
        <v>25</v>
      </c>
      <c r="E60" s="14">
        <v>9</v>
      </c>
      <c r="F60" s="14">
        <v>35</v>
      </c>
      <c r="G60" s="14">
        <v>41</v>
      </c>
      <c r="H60" s="14">
        <v>11</v>
      </c>
      <c r="I60" s="14">
        <v>40</v>
      </c>
      <c r="J60" s="14">
        <v>16</v>
      </c>
      <c r="K60" s="14">
        <v>0</v>
      </c>
      <c r="L60" s="14">
        <v>25</v>
      </c>
      <c r="M60" s="14">
        <v>24</v>
      </c>
      <c r="N60" s="14">
        <v>25</v>
      </c>
      <c r="O60" s="14">
        <v>25</v>
      </c>
    </row>
    <row r="61" spans="2:15" ht="14" customHeight="1" thickTop="1" thickBot="1" x14ac:dyDescent="0.2">
      <c r="B61" s="18">
        <v>6</v>
      </c>
      <c r="C61" s="102" t="str">
        <f t="shared" si="13"/>
        <v>19 h à 23 h</v>
      </c>
      <c r="D61" s="14">
        <v>10</v>
      </c>
      <c r="E61" s="14">
        <v>29</v>
      </c>
      <c r="F61" s="14">
        <v>19</v>
      </c>
      <c r="G61" s="14">
        <v>11</v>
      </c>
      <c r="H61" s="14">
        <v>10</v>
      </c>
      <c r="I61" s="14">
        <v>15</v>
      </c>
      <c r="J61" s="14">
        <v>40</v>
      </c>
      <c r="K61" s="14">
        <v>0</v>
      </c>
      <c r="L61" s="14">
        <v>25</v>
      </c>
      <c r="M61" s="14">
        <v>24</v>
      </c>
      <c r="N61" s="14">
        <v>22</v>
      </c>
      <c r="O61" s="14">
        <v>25</v>
      </c>
    </row>
    <row r="62" spans="2:15" ht="14" customHeight="1" thickTop="1" thickBot="1" x14ac:dyDescent="0.2">
      <c r="B62" s="18">
        <v>7</v>
      </c>
      <c r="C62" s="102" t="str">
        <f t="shared" si="13"/>
        <v>23 h à 6 h</v>
      </c>
      <c r="D62" s="14">
        <v>0</v>
      </c>
      <c r="E62" s="14">
        <v>0</v>
      </c>
      <c r="F62" s="14">
        <v>0</v>
      </c>
      <c r="G62" s="14">
        <v>0</v>
      </c>
      <c r="H62" s="14">
        <v>0</v>
      </c>
      <c r="I62" s="14">
        <v>0</v>
      </c>
      <c r="J62" s="14">
        <v>0</v>
      </c>
      <c r="K62" s="14">
        <v>0</v>
      </c>
      <c r="L62" s="14">
        <v>0</v>
      </c>
      <c r="M62" s="14">
        <v>0</v>
      </c>
      <c r="N62" s="14">
        <v>0</v>
      </c>
      <c r="O62" s="14">
        <v>0</v>
      </c>
    </row>
    <row r="63" spans="2:15" ht="14" customHeight="1" thickTop="1" thickBot="1" x14ac:dyDescent="0.2">
      <c r="B63" s="19"/>
      <c r="C63" s="296" t="str">
        <f t="shared" ref="C63" si="14">+C54</f>
        <v>Total</v>
      </c>
      <c r="D63" s="17">
        <f t="shared" ref="D63:M63" si="15">+D56+D57+D58+D59+D60+D61+D62</f>
        <v>125</v>
      </c>
      <c r="E63" s="17">
        <f t="shared" si="15"/>
        <v>126</v>
      </c>
      <c r="F63" s="17">
        <f t="shared" si="15"/>
        <v>129</v>
      </c>
      <c r="G63" s="17">
        <f t="shared" si="15"/>
        <v>138</v>
      </c>
      <c r="H63" s="17">
        <f t="shared" si="15"/>
        <v>142</v>
      </c>
      <c r="I63" s="17">
        <f t="shared" si="15"/>
        <v>150</v>
      </c>
      <c r="J63" s="17">
        <f t="shared" si="15"/>
        <v>156</v>
      </c>
      <c r="K63" s="17">
        <f t="shared" si="15"/>
        <v>0</v>
      </c>
      <c r="L63" s="17">
        <f t="shared" si="15"/>
        <v>145</v>
      </c>
      <c r="M63" s="24">
        <f t="shared" si="15"/>
        <v>140</v>
      </c>
      <c r="N63" s="17">
        <f>+N56+N57+N58+N59+N60+N61+N62</f>
        <v>135</v>
      </c>
      <c r="O63" s="17">
        <f>+O56+O57+O58+O59+O60+O61+O62</f>
        <v>145</v>
      </c>
    </row>
    <row r="64" spans="2:15" ht="14" customHeight="1" thickTop="1" thickBot="1" x14ac:dyDescent="0.2">
      <c r="B64" s="124" t="s">
        <v>2</v>
      </c>
      <c r="C64" s="297" t="str">
        <f>'Calendrier 2021'!C15</f>
        <v>Dimanche</v>
      </c>
      <c r="D64" s="77">
        <f>+'Calendrier 2021'!D15</f>
        <v>44199</v>
      </c>
      <c r="E64" s="77" t="str">
        <f>'Calendrier 2021'!E15</f>
        <v>7 fev 2021</v>
      </c>
      <c r="F64" s="77">
        <f>+'Calendrier 2021'!F15</f>
        <v>44262</v>
      </c>
      <c r="G64" s="77">
        <f>'Calendrier 2021'!G15</f>
        <v>44290</v>
      </c>
      <c r="H64" s="77">
        <f>+'Calendrier 2021'!H15</f>
        <v>44318</v>
      </c>
      <c r="I64" s="77">
        <f>+'Calendrier 2021'!I15</f>
        <v>44353</v>
      </c>
      <c r="J64" s="77">
        <f>+'Calendrier 2021'!J15</f>
        <v>44381</v>
      </c>
      <c r="K64" s="77">
        <f>+'Calendrier 2021'!K15</f>
        <v>44409</v>
      </c>
      <c r="L64" s="77">
        <f>+'Calendrier 2021'!L15</f>
        <v>44444</v>
      </c>
      <c r="M64" s="77">
        <f>+'Calendrier 2021'!M15</f>
        <v>44472</v>
      </c>
      <c r="N64" s="77">
        <f>+'Calendrier 2021'!N15</f>
        <v>44507</v>
      </c>
      <c r="O64" s="78" t="str">
        <f>+'Calendrier 2021'!O15</f>
        <v>5 dec 2021</v>
      </c>
    </row>
    <row r="65" spans="2:15" ht="14" customHeight="1" thickTop="1" thickBot="1" x14ac:dyDescent="0.2">
      <c r="B65" s="121">
        <v>1</v>
      </c>
      <c r="C65" s="100" t="str">
        <f t="shared" ref="C65:C71" si="16">C56</f>
        <v>6 h à 9 h 30</v>
      </c>
      <c r="D65" s="12">
        <v>20</v>
      </c>
      <c r="E65" s="12">
        <v>20</v>
      </c>
      <c r="F65" s="12">
        <v>20</v>
      </c>
      <c r="G65" s="12">
        <v>20</v>
      </c>
      <c r="H65" s="12">
        <v>20</v>
      </c>
      <c r="I65" s="12">
        <v>20</v>
      </c>
      <c r="J65" s="12">
        <v>20</v>
      </c>
      <c r="K65" s="12">
        <v>20</v>
      </c>
      <c r="L65" s="12">
        <v>20</v>
      </c>
      <c r="M65" s="12">
        <v>20</v>
      </c>
      <c r="N65" s="12">
        <v>20</v>
      </c>
      <c r="O65" s="12">
        <v>20</v>
      </c>
    </row>
    <row r="66" spans="2:15" ht="14" customHeight="1" thickTop="1" thickBot="1" x14ac:dyDescent="0.2">
      <c r="B66" s="18">
        <v>2</v>
      </c>
      <c r="C66" s="102" t="str">
        <f t="shared" si="16"/>
        <v>9 h 30 à 11 h 30</v>
      </c>
      <c r="D66" s="14">
        <v>20</v>
      </c>
      <c r="E66" s="14">
        <v>9</v>
      </c>
      <c r="F66" s="14">
        <v>10</v>
      </c>
      <c r="G66" s="14">
        <v>14</v>
      </c>
      <c r="H66" s="14">
        <v>45</v>
      </c>
      <c r="I66" s="14">
        <v>15</v>
      </c>
      <c r="J66" s="14">
        <v>10</v>
      </c>
      <c r="K66" s="14">
        <v>28</v>
      </c>
      <c r="L66" s="14">
        <v>25</v>
      </c>
      <c r="M66" s="14">
        <v>24</v>
      </c>
      <c r="N66" s="14">
        <v>21</v>
      </c>
      <c r="O66" s="14">
        <v>25</v>
      </c>
    </row>
    <row r="67" spans="2:15" ht="14" customHeight="1" thickTop="1" thickBot="1" x14ac:dyDescent="0.2">
      <c r="B67" s="18">
        <v>3</v>
      </c>
      <c r="C67" s="102" t="str">
        <f t="shared" si="16"/>
        <v>11 h 30 à 14 h 30</v>
      </c>
      <c r="D67" s="14">
        <v>25</v>
      </c>
      <c r="E67" s="14">
        <v>50</v>
      </c>
      <c r="F67" s="14">
        <v>35</v>
      </c>
      <c r="G67" s="14">
        <v>41</v>
      </c>
      <c r="H67" s="14">
        <v>46</v>
      </c>
      <c r="I67" s="14">
        <v>45</v>
      </c>
      <c r="J67" s="14">
        <v>50</v>
      </c>
      <c r="K67" s="14">
        <v>28</v>
      </c>
      <c r="L67" s="14">
        <v>25</v>
      </c>
      <c r="M67" s="14">
        <v>24</v>
      </c>
      <c r="N67" s="14">
        <v>25</v>
      </c>
      <c r="O67" s="14">
        <v>25</v>
      </c>
    </row>
    <row r="68" spans="2:15" ht="14" customHeight="1" thickTop="1" thickBot="1" x14ac:dyDescent="0.2">
      <c r="B68" s="18">
        <v>4</v>
      </c>
      <c r="C68" s="102" t="str">
        <f t="shared" si="16"/>
        <v>14 h 30 à 17 h</v>
      </c>
      <c r="D68" s="14">
        <v>25</v>
      </c>
      <c r="E68" s="14">
        <v>9</v>
      </c>
      <c r="F68" s="14">
        <v>10</v>
      </c>
      <c r="G68" s="14">
        <v>11</v>
      </c>
      <c r="H68" s="14">
        <v>10</v>
      </c>
      <c r="I68" s="14">
        <v>15</v>
      </c>
      <c r="J68" s="14">
        <v>20</v>
      </c>
      <c r="K68" s="14">
        <v>28</v>
      </c>
      <c r="L68" s="14">
        <v>25</v>
      </c>
      <c r="M68" s="14">
        <v>24</v>
      </c>
      <c r="N68" s="14">
        <v>22</v>
      </c>
      <c r="O68" s="14">
        <v>25</v>
      </c>
    </row>
    <row r="69" spans="2:15" ht="14" customHeight="1" thickTop="1" thickBot="1" x14ac:dyDescent="0.2">
      <c r="B69" s="18">
        <v>5</v>
      </c>
      <c r="C69" s="102" t="str">
        <f t="shared" si="16"/>
        <v>17 h à 19 h</v>
      </c>
      <c r="D69" s="14">
        <v>25</v>
      </c>
      <c r="E69" s="14">
        <v>9</v>
      </c>
      <c r="F69" s="14">
        <v>35</v>
      </c>
      <c r="G69" s="14">
        <v>41</v>
      </c>
      <c r="H69" s="14">
        <v>11</v>
      </c>
      <c r="I69" s="14">
        <v>40</v>
      </c>
      <c r="J69" s="14">
        <v>16</v>
      </c>
      <c r="K69" s="14">
        <v>28</v>
      </c>
      <c r="L69" s="14">
        <v>25</v>
      </c>
      <c r="M69" s="14">
        <v>24</v>
      </c>
      <c r="N69" s="14">
        <v>25</v>
      </c>
      <c r="O69" s="14">
        <v>25</v>
      </c>
    </row>
    <row r="70" spans="2:15" ht="14" customHeight="1" thickTop="1" thickBot="1" x14ac:dyDescent="0.2">
      <c r="B70" s="18">
        <v>6</v>
      </c>
      <c r="C70" s="102" t="str">
        <f t="shared" si="16"/>
        <v>19 h à 23 h</v>
      </c>
      <c r="D70" s="14">
        <v>20</v>
      </c>
      <c r="E70" s="14">
        <v>29</v>
      </c>
      <c r="F70" s="14">
        <v>19</v>
      </c>
      <c r="G70" s="14">
        <v>11</v>
      </c>
      <c r="H70" s="14">
        <v>10</v>
      </c>
      <c r="I70" s="14">
        <v>15</v>
      </c>
      <c r="J70" s="14">
        <v>40</v>
      </c>
      <c r="K70" s="14">
        <v>21</v>
      </c>
      <c r="L70" s="14">
        <v>25</v>
      </c>
      <c r="M70" s="14">
        <v>24</v>
      </c>
      <c r="N70" s="14">
        <v>22</v>
      </c>
      <c r="O70" s="14">
        <v>25</v>
      </c>
    </row>
    <row r="71" spans="2:15" ht="14" customHeight="1" thickTop="1" thickBot="1" x14ac:dyDescent="0.2">
      <c r="B71" s="18">
        <v>7</v>
      </c>
      <c r="C71" s="102" t="str">
        <f t="shared" si="16"/>
        <v>23 h à 6 h</v>
      </c>
      <c r="D71" s="14">
        <v>0</v>
      </c>
      <c r="E71" s="14">
        <v>0</v>
      </c>
      <c r="F71" s="14">
        <v>0</v>
      </c>
      <c r="G71" s="14">
        <v>0</v>
      </c>
      <c r="H71" s="14">
        <v>0</v>
      </c>
      <c r="I71" s="14">
        <v>0</v>
      </c>
      <c r="J71" s="14">
        <v>0</v>
      </c>
      <c r="K71" s="14">
        <v>0</v>
      </c>
      <c r="L71" s="14">
        <v>0</v>
      </c>
      <c r="M71" s="14">
        <v>0</v>
      </c>
      <c r="N71" s="14">
        <v>0</v>
      </c>
      <c r="O71" s="14">
        <v>0</v>
      </c>
    </row>
    <row r="72" spans="2:15" ht="14" customHeight="1" thickTop="1" thickBot="1" x14ac:dyDescent="0.2">
      <c r="B72" s="18"/>
      <c r="C72" s="16" t="str">
        <f t="shared" ref="C72" si="17">+C63</f>
        <v>Total</v>
      </c>
      <c r="D72" s="17">
        <f t="shared" ref="D72:O72" si="18">+D65+D66+D67+D68+D69+D70+D71</f>
        <v>135</v>
      </c>
      <c r="E72" s="17">
        <f t="shared" si="18"/>
        <v>126</v>
      </c>
      <c r="F72" s="17">
        <f t="shared" si="18"/>
        <v>129</v>
      </c>
      <c r="G72" s="17">
        <f t="shared" si="18"/>
        <v>138</v>
      </c>
      <c r="H72" s="17">
        <f t="shared" si="18"/>
        <v>142</v>
      </c>
      <c r="I72" s="17">
        <f t="shared" si="18"/>
        <v>150</v>
      </c>
      <c r="J72" s="17">
        <f t="shared" si="18"/>
        <v>156</v>
      </c>
      <c r="K72" s="17">
        <f t="shared" si="18"/>
        <v>153</v>
      </c>
      <c r="L72" s="17">
        <f t="shared" si="18"/>
        <v>145</v>
      </c>
      <c r="M72" s="17">
        <f t="shared" si="18"/>
        <v>140</v>
      </c>
      <c r="N72" s="17">
        <f t="shared" si="18"/>
        <v>135</v>
      </c>
      <c r="O72" s="17">
        <f t="shared" si="18"/>
        <v>145</v>
      </c>
    </row>
    <row r="73" spans="2:15" ht="14" customHeight="1" thickTop="1" thickBot="1" x14ac:dyDescent="0.2">
      <c r="B73" s="1262" t="s">
        <v>17</v>
      </c>
      <c r="C73" s="1263"/>
      <c r="D73" s="1263"/>
      <c r="E73" s="1263"/>
      <c r="F73" s="1263"/>
      <c r="G73" s="1263"/>
      <c r="H73" s="1263"/>
      <c r="I73" s="1263"/>
      <c r="J73" s="1263"/>
      <c r="K73" s="1263"/>
      <c r="L73" s="1263"/>
      <c r="M73" s="1263"/>
      <c r="N73" s="1263"/>
      <c r="O73" s="1264"/>
    </row>
    <row r="74" spans="2:15" ht="14" customHeight="1" thickTop="1" thickBot="1" x14ac:dyDescent="0.2">
      <c r="B74" s="128">
        <f>+'Calendrier 2021'!B16</f>
        <v>2</v>
      </c>
      <c r="C74" s="129" t="str">
        <f>+'Calendrier 2021'!C16</f>
        <v>Lundi</v>
      </c>
      <c r="D74" s="130">
        <f>+'Calendrier 2021'!D16</f>
        <v>44200</v>
      </c>
      <c r="E74" s="130" t="str">
        <f>+'Calendrier 2021'!E16</f>
        <v>8 fev 2021</v>
      </c>
      <c r="F74" s="130">
        <f>+'Calendrier 2021'!F16</f>
        <v>44263</v>
      </c>
      <c r="G74" s="130">
        <f>+'Calendrier 2021'!G16</f>
        <v>44291</v>
      </c>
      <c r="H74" s="130">
        <f>+'Calendrier 2021'!H16</f>
        <v>44319</v>
      </c>
      <c r="I74" s="130">
        <f>+'Calendrier 2021'!I16</f>
        <v>44354</v>
      </c>
      <c r="J74" s="130">
        <f>+'Calendrier 2021'!J16</f>
        <v>44382</v>
      </c>
      <c r="K74" s="130">
        <f>+'Calendrier 2021'!K16</f>
        <v>44410</v>
      </c>
      <c r="L74" s="130">
        <f>+'Calendrier 2021'!L16</f>
        <v>44445</v>
      </c>
      <c r="M74" s="130">
        <f>+'Calendrier 2021'!M16</f>
        <v>44473</v>
      </c>
      <c r="N74" s="130">
        <f>+'Calendrier 2021'!N16</f>
        <v>44508</v>
      </c>
      <c r="O74" s="131" t="str">
        <f>+'Calendrier 2021'!O16</f>
        <v>6 dec 2021</v>
      </c>
    </row>
    <row r="75" spans="2:15" ht="14" customHeight="1" thickTop="1" x14ac:dyDescent="0.15">
      <c r="B75" s="11">
        <v>1</v>
      </c>
      <c r="C75" s="100" t="str">
        <f t="shared" ref="C75:C81" si="19">C65</f>
        <v>6 h à 9 h 30</v>
      </c>
      <c r="D75" s="12">
        <v>20</v>
      </c>
      <c r="E75" s="12">
        <v>20</v>
      </c>
      <c r="F75" s="12">
        <v>20</v>
      </c>
      <c r="G75" s="12">
        <v>20</v>
      </c>
      <c r="H75" s="12">
        <v>20</v>
      </c>
      <c r="I75" s="12">
        <v>20</v>
      </c>
      <c r="J75" s="12">
        <v>20</v>
      </c>
      <c r="K75" s="12">
        <v>20</v>
      </c>
      <c r="L75" s="12">
        <v>20</v>
      </c>
      <c r="M75" s="12">
        <v>20</v>
      </c>
      <c r="N75" s="12">
        <v>20</v>
      </c>
      <c r="O75" s="12">
        <v>20</v>
      </c>
    </row>
    <row r="76" spans="2:15" ht="14" customHeight="1" x14ac:dyDescent="0.15">
      <c r="B76" s="13">
        <v>2</v>
      </c>
      <c r="C76" s="102" t="str">
        <f t="shared" si="19"/>
        <v>9 h 30 à 11 h 30</v>
      </c>
      <c r="D76" s="14">
        <v>25</v>
      </c>
      <c r="E76" s="14">
        <v>9</v>
      </c>
      <c r="F76" s="14">
        <v>10</v>
      </c>
      <c r="G76" s="14">
        <v>14</v>
      </c>
      <c r="H76" s="14">
        <v>45</v>
      </c>
      <c r="I76" s="14">
        <v>15</v>
      </c>
      <c r="J76" s="14">
        <v>10</v>
      </c>
      <c r="K76" s="14">
        <v>28</v>
      </c>
      <c r="L76" s="14">
        <v>25</v>
      </c>
      <c r="M76" s="14">
        <v>24</v>
      </c>
      <c r="N76" s="14">
        <v>21</v>
      </c>
      <c r="O76" s="14">
        <v>25</v>
      </c>
    </row>
    <row r="77" spans="2:15" ht="14" customHeight="1" x14ac:dyDescent="0.15">
      <c r="B77" s="13">
        <v>3</v>
      </c>
      <c r="C77" s="102" t="str">
        <f t="shared" si="19"/>
        <v>11 h 30 à 14 h 30</v>
      </c>
      <c r="D77" s="14">
        <v>25</v>
      </c>
      <c r="E77" s="14">
        <v>50</v>
      </c>
      <c r="F77" s="14">
        <v>35</v>
      </c>
      <c r="G77" s="14">
        <v>41</v>
      </c>
      <c r="H77" s="14">
        <v>46</v>
      </c>
      <c r="I77" s="14">
        <v>45</v>
      </c>
      <c r="J77" s="14">
        <v>50</v>
      </c>
      <c r="K77" s="14">
        <v>28</v>
      </c>
      <c r="L77" s="14">
        <v>25</v>
      </c>
      <c r="M77" s="14">
        <v>24</v>
      </c>
      <c r="N77" s="14">
        <v>25</v>
      </c>
      <c r="O77" s="14">
        <v>25</v>
      </c>
    </row>
    <row r="78" spans="2:15" ht="14" customHeight="1" x14ac:dyDescent="0.15">
      <c r="B78" s="13">
        <v>4</v>
      </c>
      <c r="C78" s="102" t="str">
        <f t="shared" si="19"/>
        <v>14 h 30 à 17 h</v>
      </c>
      <c r="D78" s="14">
        <v>20</v>
      </c>
      <c r="E78" s="14">
        <v>9</v>
      </c>
      <c r="F78" s="14">
        <v>10</v>
      </c>
      <c r="G78" s="14">
        <v>11</v>
      </c>
      <c r="H78" s="14">
        <v>10</v>
      </c>
      <c r="I78" s="14">
        <v>15</v>
      </c>
      <c r="J78" s="14">
        <v>20</v>
      </c>
      <c r="K78" s="14">
        <v>28</v>
      </c>
      <c r="L78" s="14">
        <v>25</v>
      </c>
      <c r="M78" s="14">
        <v>24</v>
      </c>
      <c r="N78" s="14">
        <v>22</v>
      </c>
      <c r="O78" s="14">
        <v>25</v>
      </c>
    </row>
    <row r="79" spans="2:15" ht="14" customHeight="1" x14ac:dyDescent="0.15">
      <c r="B79" s="13">
        <v>5</v>
      </c>
      <c r="C79" s="102" t="str">
        <f t="shared" si="19"/>
        <v>17 h à 19 h</v>
      </c>
      <c r="D79" s="14">
        <v>25</v>
      </c>
      <c r="E79" s="14">
        <v>9</v>
      </c>
      <c r="F79" s="14">
        <v>35</v>
      </c>
      <c r="G79" s="14">
        <v>41</v>
      </c>
      <c r="H79" s="14">
        <v>11</v>
      </c>
      <c r="I79" s="14">
        <v>40</v>
      </c>
      <c r="J79" s="14">
        <v>16</v>
      </c>
      <c r="K79" s="14">
        <v>28</v>
      </c>
      <c r="L79" s="14">
        <v>25</v>
      </c>
      <c r="M79" s="14">
        <v>24</v>
      </c>
      <c r="N79" s="14">
        <v>25</v>
      </c>
      <c r="O79" s="14">
        <v>25</v>
      </c>
    </row>
    <row r="80" spans="2:15" ht="14" customHeight="1" x14ac:dyDescent="0.15">
      <c r="B80" s="13">
        <v>6</v>
      </c>
      <c r="C80" s="102" t="str">
        <f t="shared" si="19"/>
        <v>19 h à 23 h</v>
      </c>
      <c r="D80" s="14">
        <v>20</v>
      </c>
      <c r="E80" s="14">
        <v>29</v>
      </c>
      <c r="F80" s="14">
        <v>19</v>
      </c>
      <c r="G80" s="14">
        <v>11</v>
      </c>
      <c r="H80" s="14">
        <v>10</v>
      </c>
      <c r="I80" s="14">
        <v>15</v>
      </c>
      <c r="J80" s="14">
        <v>40</v>
      </c>
      <c r="K80" s="14">
        <v>21</v>
      </c>
      <c r="L80" s="14">
        <v>25</v>
      </c>
      <c r="M80" s="14">
        <v>24</v>
      </c>
      <c r="N80" s="14">
        <v>22</v>
      </c>
      <c r="O80" s="14">
        <v>25</v>
      </c>
    </row>
    <row r="81" spans="2:15" ht="14" customHeight="1" x14ac:dyDescent="0.15">
      <c r="B81" s="13">
        <v>7</v>
      </c>
      <c r="C81" s="102" t="str">
        <f t="shared" si="19"/>
        <v>23 h à 6 h</v>
      </c>
      <c r="D81" s="14">
        <v>0</v>
      </c>
      <c r="E81" s="14">
        <v>0</v>
      </c>
      <c r="F81" s="14">
        <v>0</v>
      </c>
      <c r="G81" s="14">
        <v>0</v>
      </c>
      <c r="H81" s="14">
        <v>0</v>
      </c>
      <c r="I81" s="14">
        <v>0</v>
      </c>
      <c r="J81" s="14">
        <v>0</v>
      </c>
      <c r="K81" s="14">
        <v>0</v>
      </c>
      <c r="L81" s="14">
        <v>0</v>
      </c>
      <c r="M81" s="14">
        <v>0</v>
      </c>
      <c r="N81" s="14">
        <v>0</v>
      </c>
      <c r="O81" s="14">
        <v>0</v>
      </c>
    </row>
    <row r="82" spans="2:15" ht="14" customHeight="1" thickBot="1" x14ac:dyDescent="0.2">
      <c r="B82" s="15"/>
      <c r="C82" s="299" t="str">
        <f>+C72</f>
        <v>Total</v>
      </c>
      <c r="D82" s="17">
        <f t="shared" ref="D82:O82" si="20">+D75+D76+D77+D78+D79+D80+D81</f>
        <v>135</v>
      </c>
      <c r="E82" s="17">
        <f t="shared" si="20"/>
        <v>126</v>
      </c>
      <c r="F82" s="17">
        <f t="shared" si="20"/>
        <v>129</v>
      </c>
      <c r="G82" s="17">
        <f t="shared" si="20"/>
        <v>138</v>
      </c>
      <c r="H82" s="17">
        <f t="shared" si="20"/>
        <v>142</v>
      </c>
      <c r="I82" s="17">
        <f t="shared" si="20"/>
        <v>150</v>
      </c>
      <c r="J82" s="17">
        <f t="shared" si="20"/>
        <v>156</v>
      </c>
      <c r="K82" s="17">
        <f t="shared" si="20"/>
        <v>153</v>
      </c>
      <c r="L82" s="17">
        <f t="shared" si="20"/>
        <v>145</v>
      </c>
      <c r="M82" s="17">
        <f t="shared" si="20"/>
        <v>140</v>
      </c>
      <c r="N82" s="17">
        <f t="shared" si="20"/>
        <v>135</v>
      </c>
      <c r="O82" s="17">
        <f t="shared" si="20"/>
        <v>145</v>
      </c>
    </row>
    <row r="83" spans="2:15" ht="14" customHeight="1" thickTop="1" thickBot="1" x14ac:dyDescent="0.2">
      <c r="B83" s="124" t="s">
        <v>2</v>
      </c>
      <c r="C83" s="297" t="str">
        <f>+'Calendrier 2021'!C24</f>
        <v>Mardi</v>
      </c>
      <c r="D83" s="77">
        <f>+'Calendrier 2021'!D17</f>
        <v>44201</v>
      </c>
      <c r="E83" s="77" t="str">
        <f>+'Calendrier 2021'!E17</f>
        <v>9 fev 2021</v>
      </c>
      <c r="F83" s="77">
        <f>+'Calendrier 2021'!F17</f>
        <v>44264</v>
      </c>
      <c r="G83" s="77">
        <f>+'Calendrier 2021'!G17</f>
        <v>44292</v>
      </c>
      <c r="H83" s="77">
        <f>+'Calendrier 2021'!H17</f>
        <v>44320</v>
      </c>
      <c r="I83" s="77">
        <f>+'Calendrier 2021'!I17</f>
        <v>44355</v>
      </c>
      <c r="J83" s="77">
        <f>+'Calendrier 2021'!J17</f>
        <v>44383</v>
      </c>
      <c r="K83" s="77">
        <f>+'Calendrier 2021'!K17</f>
        <v>44411</v>
      </c>
      <c r="L83" s="77">
        <f>+'Calendrier 2021'!L17</f>
        <v>44446</v>
      </c>
      <c r="M83" s="77">
        <f>+'Calendrier 2021'!M17</f>
        <v>44474</v>
      </c>
      <c r="N83" s="77">
        <f>+'Calendrier 2021'!N17</f>
        <v>44509</v>
      </c>
      <c r="O83" s="78" t="str">
        <f>+'Calendrier 2021'!O17</f>
        <v>7 dec 2021</v>
      </c>
    </row>
    <row r="84" spans="2:15" ht="14" customHeight="1" thickTop="1" thickBot="1" x14ac:dyDescent="0.2">
      <c r="B84" s="18">
        <v>1</v>
      </c>
      <c r="C84" s="100" t="str">
        <f t="shared" ref="C84:C90" si="21">C75</f>
        <v>6 h à 9 h 30</v>
      </c>
      <c r="D84" s="12">
        <v>20</v>
      </c>
      <c r="E84" s="12">
        <v>20</v>
      </c>
      <c r="F84" s="12">
        <v>20</v>
      </c>
      <c r="G84" s="12">
        <v>20</v>
      </c>
      <c r="H84" s="12">
        <v>20</v>
      </c>
      <c r="I84" s="12">
        <v>20</v>
      </c>
      <c r="J84" s="12">
        <v>20</v>
      </c>
      <c r="K84" s="12">
        <v>20</v>
      </c>
      <c r="L84" s="12">
        <v>20</v>
      </c>
      <c r="M84" s="12">
        <v>20</v>
      </c>
      <c r="N84" s="12">
        <v>20</v>
      </c>
      <c r="O84" s="12">
        <v>20</v>
      </c>
    </row>
    <row r="85" spans="2:15" ht="14" customHeight="1" thickTop="1" thickBot="1" x14ac:dyDescent="0.2">
      <c r="B85" s="121">
        <v>2</v>
      </c>
      <c r="C85" s="102" t="str">
        <f t="shared" si="21"/>
        <v>9 h 30 à 11 h 30</v>
      </c>
      <c r="D85" s="14">
        <v>25</v>
      </c>
      <c r="E85" s="14">
        <v>9</v>
      </c>
      <c r="F85" s="14">
        <v>10</v>
      </c>
      <c r="G85" s="14">
        <v>14</v>
      </c>
      <c r="H85" s="14">
        <v>45</v>
      </c>
      <c r="I85" s="14">
        <v>15</v>
      </c>
      <c r="J85" s="14">
        <v>10</v>
      </c>
      <c r="K85" s="14">
        <v>28</v>
      </c>
      <c r="L85" s="14">
        <v>25</v>
      </c>
      <c r="M85" s="14">
        <v>24</v>
      </c>
      <c r="N85" s="14">
        <v>21</v>
      </c>
      <c r="O85" s="14">
        <v>25</v>
      </c>
    </row>
    <row r="86" spans="2:15" ht="14" customHeight="1" thickTop="1" thickBot="1" x14ac:dyDescent="0.2">
      <c r="B86" s="121">
        <v>3</v>
      </c>
      <c r="C86" s="102" t="str">
        <f t="shared" si="21"/>
        <v>11 h 30 à 14 h 30</v>
      </c>
      <c r="D86" s="14">
        <v>25</v>
      </c>
      <c r="E86" s="14">
        <v>50</v>
      </c>
      <c r="F86" s="14">
        <v>35</v>
      </c>
      <c r="G86" s="14">
        <v>41</v>
      </c>
      <c r="H86" s="14">
        <v>46</v>
      </c>
      <c r="I86" s="14">
        <v>45</v>
      </c>
      <c r="J86" s="14">
        <v>50</v>
      </c>
      <c r="K86" s="14">
        <v>28</v>
      </c>
      <c r="L86" s="14">
        <v>25</v>
      </c>
      <c r="M86" s="14">
        <v>24</v>
      </c>
      <c r="N86" s="14">
        <v>25</v>
      </c>
      <c r="O86" s="14">
        <v>25</v>
      </c>
    </row>
    <row r="87" spans="2:15" ht="14" customHeight="1" thickTop="1" thickBot="1" x14ac:dyDescent="0.2">
      <c r="B87" s="121">
        <v>4</v>
      </c>
      <c r="C87" s="102" t="str">
        <f t="shared" si="21"/>
        <v>14 h 30 à 17 h</v>
      </c>
      <c r="D87" s="14">
        <v>10</v>
      </c>
      <c r="E87" s="14">
        <v>9</v>
      </c>
      <c r="F87" s="14">
        <v>10</v>
      </c>
      <c r="G87" s="14">
        <v>11</v>
      </c>
      <c r="H87" s="14">
        <v>10</v>
      </c>
      <c r="I87" s="14">
        <v>15</v>
      </c>
      <c r="J87" s="14">
        <v>20</v>
      </c>
      <c r="K87" s="14">
        <v>28</v>
      </c>
      <c r="L87" s="14">
        <v>25</v>
      </c>
      <c r="M87" s="14">
        <v>24</v>
      </c>
      <c r="N87" s="14">
        <v>22</v>
      </c>
      <c r="O87" s="14">
        <v>25</v>
      </c>
    </row>
    <row r="88" spans="2:15" ht="14" customHeight="1" thickTop="1" thickBot="1" x14ac:dyDescent="0.2">
      <c r="B88" s="121">
        <v>5</v>
      </c>
      <c r="C88" s="102" t="str">
        <f t="shared" si="21"/>
        <v>17 h à 19 h</v>
      </c>
      <c r="D88" s="14">
        <v>25</v>
      </c>
      <c r="E88" s="14">
        <v>9</v>
      </c>
      <c r="F88" s="14">
        <v>35</v>
      </c>
      <c r="G88" s="14">
        <v>41</v>
      </c>
      <c r="H88" s="14">
        <v>11</v>
      </c>
      <c r="I88" s="14">
        <v>40</v>
      </c>
      <c r="J88" s="14">
        <v>16</v>
      </c>
      <c r="K88" s="14">
        <v>28</v>
      </c>
      <c r="L88" s="14">
        <v>25</v>
      </c>
      <c r="M88" s="14">
        <v>24</v>
      </c>
      <c r="N88" s="14">
        <v>25</v>
      </c>
      <c r="O88" s="14">
        <v>25</v>
      </c>
    </row>
    <row r="89" spans="2:15" ht="14" customHeight="1" thickTop="1" thickBot="1" x14ac:dyDescent="0.2">
      <c r="B89" s="121">
        <v>6</v>
      </c>
      <c r="C89" s="102" t="str">
        <f t="shared" si="21"/>
        <v>19 h à 23 h</v>
      </c>
      <c r="D89" s="14">
        <v>20</v>
      </c>
      <c r="E89" s="14">
        <v>29</v>
      </c>
      <c r="F89" s="14">
        <v>19</v>
      </c>
      <c r="G89" s="14">
        <v>11</v>
      </c>
      <c r="H89" s="14">
        <v>10</v>
      </c>
      <c r="I89" s="14">
        <v>15</v>
      </c>
      <c r="J89" s="14">
        <v>40</v>
      </c>
      <c r="K89" s="14">
        <v>21</v>
      </c>
      <c r="L89" s="14">
        <v>25</v>
      </c>
      <c r="M89" s="14">
        <v>24</v>
      </c>
      <c r="N89" s="14">
        <v>22</v>
      </c>
      <c r="O89" s="14">
        <v>25</v>
      </c>
    </row>
    <row r="90" spans="2:15" ht="14" customHeight="1" thickTop="1" thickBot="1" x14ac:dyDescent="0.2">
      <c r="B90" s="121">
        <v>7</v>
      </c>
      <c r="C90" s="102" t="str">
        <f t="shared" si="21"/>
        <v>23 h à 6 h</v>
      </c>
      <c r="D90" s="14">
        <v>0</v>
      </c>
      <c r="E90" s="14">
        <v>0</v>
      </c>
      <c r="F90" s="14">
        <v>0</v>
      </c>
      <c r="G90" s="14">
        <v>0</v>
      </c>
      <c r="H90" s="14">
        <v>0</v>
      </c>
      <c r="I90" s="14">
        <v>0</v>
      </c>
      <c r="J90" s="14">
        <v>0</v>
      </c>
      <c r="K90" s="14">
        <v>0</v>
      </c>
      <c r="L90" s="14">
        <v>0</v>
      </c>
      <c r="M90" s="14">
        <v>0</v>
      </c>
      <c r="N90" s="14">
        <v>0</v>
      </c>
      <c r="O90" s="14">
        <v>0</v>
      </c>
    </row>
    <row r="91" spans="2:15" ht="14" customHeight="1" thickTop="1" thickBot="1" x14ac:dyDescent="0.2">
      <c r="B91" s="19"/>
      <c r="C91" s="21" t="str">
        <f t="shared" ref="C91" si="22">+C82</f>
        <v>Total</v>
      </c>
      <c r="D91" s="17">
        <f t="shared" ref="D91:O91" si="23">+D84+D85+D86+D87+D88+D89+D90</f>
        <v>125</v>
      </c>
      <c r="E91" s="17">
        <f t="shared" si="23"/>
        <v>126</v>
      </c>
      <c r="F91" s="17">
        <f t="shared" si="23"/>
        <v>129</v>
      </c>
      <c r="G91" s="17">
        <f t="shared" si="23"/>
        <v>138</v>
      </c>
      <c r="H91" s="17">
        <f t="shared" si="23"/>
        <v>142</v>
      </c>
      <c r="I91" s="17">
        <f t="shared" si="23"/>
        <v>150</v>
      </c>
      <c r="J91" s="17">
        <f t="shared" si="23"/>
        <v>156</v>
      </c>
      <c r="K91" s="17">
        <f t="shared" si="23"/>
        <v>153</v>
      </c>
      <c r="L91" s="17">
        <f t="shared" si="23"/>
        <v>145</v>
      </c>
      <c r="M91" s="17">
        <f t="shared" si="23"/>
        <v>140</v>
      </c>
      <c r="N91" s="17">
        <f t="shared" si="23"/>
        <v>135</v>
      </c>
      <c r="O91" s="17">
        <f t="shared" si="23"/>
        <v>145</v>
      </c>
    </row>
    <row r="92" spans="2:15" ht="14" customHeight="1" thickTop="1" thickBot="1" x14ac:dyDescent="0.2">
      <c r="B92" s="124" t="s">
        <v>2</v>
      </c>
      <c r="C92" s="125" t="str">
        <f>+'Calendrier 2021'!C18</f>
        <v>Mercredi</v>
      </c>
      <c r="D92" s="77">
        <f>+'Calendrier 2021'!D18</f>
        <v>44202</v>
      </c>
      <c r="E92" s="77" t="str">
        <f>+'Calendrier 2021'!E18</f>
        <v>10 fev 2021</v>
      </c>
      <c r="F92" s="77">
        <f>+'Calendrier 2021'!F18</f>
        <v>44265</v>
      </c>
      <c r="G92" s="77">
        <f>+'Calendrier 2021'!G18</f>
        <v>44293</v>
      </c>
      <c r="H92" s="77">
        <f>+'Calendrier 2021'!H18</f>
        <v>44321</v>
      </c>
      <c r="I92" s="77">
        <f>+'Calendrier 2021'!I18</f>
        <v>44356</v>
      </c>
      <c r="J92" s="77">
        <f>+'Calendrier 2021'!J18</f>
        <v>44384</v>
      </c>
      <c r="K92" s="77">
        <f>+'Calendrier 2021'!K18</f>
        <v>44412</v>
      </c>
      <c r="L92" s="77">
        <f>+'Calendrier 2021'!L18</f>
        <v>44447</v>
      </c>
      <c r="M92" s="77">
        <f>+'Calendrier 2021'!M18</f>
        <v>44475</v>
      </c>
      <c r="N92" s="77">
        <f>+'Calendrier 2021'!N18</f>
        <v>44510</v>
      </c>
      <c r="O92" s="78" t="str">
        <f>+'Calendrier 2021'!O18</f>
        <v>8 dec 2021</v>
      </c>
    </row>
    <row r="93" spans="2:15" ht="14" customHeight="1" thickTop="1" thickBot="1" x14ac:dyDescent="0.2">
      <c r="B93" s="18">
        <v>1</v>
      </c>
      <c r="C93" s="100" t="str">
        <f t="shared" ref="C93:C99" si="24">C84</f>
        <v>6 h à 9 h 30</v>
      </c>
      <c r="D93" s="12">
        <v>20</v>
      </c>
      <c r="E93" s="12">
        <v>20</v>
      </c>
      <c r="F93" s="12">
        <v>20</v>
      </c>
      <c r="G93" s="12">
        <v>20</v>
      </c>
      <c r="H93" s="12">
        <v>20</v>
      </c>
      <c r="I93" s="12">
        <v>20</v>
      </c>
      <c r="J93" s="12">
        <v>20</v>
      </c>
      <c r="K93" s="12">
        <v>20</v>
      </c>
      <c r="L93" s="12">
        <v>20</v>
      </c>
      <c r="M93" s="12">
        <v>20</v>
      </c>
      <c r="N93" s="12">
        <v>20</v>
      </c>
      <c r="O93" s="12">
        <v>20</v>
      </c>
    </row>
    <row r="94" spans="2:15" ht="14" customHeight="1" thickTop="1" thickBot="1" x14ac:dyDescent="0.2">
      <c r="B94" s="121">
        <v>2</v>
      </c>
      <c r="C94" s="102" t="str">
        <f t="shared" si="24"/>
        <v>9 h 30 à 11 h 30</v>
      </c>
      <c r="D94" s="14">
        <v>25</v>
      </c>
      <c r="E94" s="14">
        <v>9</v>
      </c>
      <c r="F94" s="14">
        <v>10</v>
      </c>
      <c r="G94" s="14">
        <v>14</v>
      </c>
      <c r="H94" s="14">
        <v>45</v>
      </c>
      <c r="I94" s="14">
        <v>15</v>
      </c>
      <c r="J94" s="14">
        <v>10</v>
      </c>
      <c r="K94" s="14">
        <v>28</v>
      </c>
      <c r="L94" s="14">
        <v>25</v>
      </c>
      <c r="M94" s="14">
        <v>24</v>
      </c>
      <c r="N94" s="14">
        <v>21</v>
      </c>
      <c r="O94" s="14">
        <v>25</v>
      </c>
    </row>
    <row r="95" spans="2:15" ht="14" customHeight="1" thickTop="1" thickBot="1" x14ac:dyDescent="0.2">
      <c r="B95" s="121">
        <v>3</v>
      </c>
      <c r="C95" s="102" t="str">
        <f t="shared" si="24"/>
        <v>11 h 30 à 14 h 30</v>
      </c>
      <c r="D95" s="14">
        <v>25</v>
      </c>
      <c r="E95" s="14">
        <v>50</v>
      </c>
      <c r="F95" s="14">
        <v>35</v>
      </c>
      <c r="G95" s="14">
        <v>41</v>
      </c>
      <c r="H95" s="14">
        <v>46</v>
      </c>
      <c r="I95" s="14">
        <v>45</v>
      </c>
      <c r="J95" s="14">
        <v>50</v>
      </c>
      <c r="K95" s="14">
        <v>28</v>
      </c>
      <c r="L95" s="14">
        <v>25</v>
      </c>
      <c r="M95" s="14">
        <v>24</v>
      </c>
      <c r="N95" s="14">
        <v>25</v>
      </c>
      <c r="O95" s="14">
        <v>25</v>
      </c>
    </row>
    <row r="96" spans="2:15" ht="14" customHeight="1" thickTop="1" thickBot="1" x14ac:dyDescent="0.2">
      <c r="B96" s="121">
        <v>4</v>
      </c>
      <c r="C96" s="102" t="str">
        <f t="shared" si="24"/>
        <v>14 h 30 à 17 h</v>
      </c>
      <c r="D96" s="14">
        <v>10</v>
      </c>
      <c r="E96" s="14">
        <v>19</v>
      </c>
      <c r="F96" s="14">
        <v>20</v>
      </c>
      <c r="G96" s="14">
        <v>21</v>
      </c>
      <c r="H96" s="14">
        <v>20</v>
      </c>
      <c r="I96" s="14">
        <v>25</v>
      </c>
      <c r="J96" s="14">
        <v>30</v>
      </c>
      <c r="K96" s="14">
        <v>38</v>
      </c>
      <c r="L96" s="14">
        <v>35</v>
      </c>
      <c r="M96" s="14">
        <v>34</v>
      </c>
      <c r="N96" s="14">
        <v>32</v>
      </c>
      <c r="O96" s="14">
        <v>35</v>
      </c>
    </row>
    <row r="97" spans="2:15" ht="14" customHeight="1" thickTop="1" thickBot="1" x14ac:dyDescent="0.2">
      <c r="B97" s="121">
        <v>5</v>
      </c>
      <c r="C97" s="102" t="str">
        <f t="shared" si="24"/>
        <v>17 h à 19 h</v>
      </c>
      <c r="D97" s="14">
        <v>25</v>
      </c>
      <c r="E97" s="14">
        <v>9</v>
      </c>
      <c r="F97" s="14">
        <v>35</v>
      </c>
      <c r="G97" s="14">
        <v>41</v>
      </c>
      <c r="H97" s="14">
        <v>11</v>
      </c>
      <c r="I97" s="14">
        <v>40</v>
      </c>
      <c r="J97" s="14">
        <v>16</v>
      </c>
      <c r="K97" s="14">
        <v>28</v>
      </c>
      <c r="L97" s="14">
        <v>25</v>
      </c>
      <c r="M97" s="14">
        <v>24</v>
      </c>
      <c r="N97" s="14">
        <v>25</v>
      </c>
      <c r="O97" s="14">
        <v>25</v>
      </c>
    </row>
    <row r="98" spans="2:15" ht="14" customHeight="1" thickTop="1" thickBot="1" x14ac:dyDescent="0.2">
      <c r="B98" s="121">
        <v>6</v>
      </c>
      <c r="C98" s="102" t="str">
        <f t="shared" si="24"/>
        <v>19 h à 23 h</v>
      </c>
      <c r="D98" s="14">
        <v>20</v>
      </c>
      <c r="E98" s="14">
        <v>29</v>
      </c>
      <c r="F98" s="14">
        <v>19</v>
      </c>
      <c r="G98" s="14">
        <v>11</v>
      </c>
      <c r="H98" s="14">
        <v>10</v>
      </c>
      <c r="I98" s="14">
        <v>15</v>
      </c>
      <c r="J98" s="14">
        <v>40</v>
      </c>
      <c r="K98" s="14">
        <v>21</v>
      </c>
      <c r="L98" s="14">
        <v>25</v>
      </c>
      <c r="M98" s="14">
        <v>24</v>
      </c>
      <c r="N98" s="14">
        <v>22</v>
      </c>
      <c r="O98" s="14">
        <v>25</v>
      </c>
    </row>
    <row r="99" spans="2:15" ht="14" customHeight="1" thickTop="1" thickBot="1" x14ac:dyDescent="0.2">
      <c r="B99" s="121">
        <v>7</v>
      </c>
      <c r="C99" s="102" t="str">
        <f t="shared" si="24"/>
        <v>23 h à 6 h</v>
      </c>
      <c r="D99" s="14">
        <v>0</v>
      </c>
      <c r="E99" s="14">
        <v>0</v>
      </c>
      <c r="F99" s="14">
        <v>0</v>
      </c>
      <c r="G99" s="14">
        <v>0</v>
      </c>
      <c r="H99" s="14">
        <v>0</v>
      </c>
      <c r="I99" s="14">
        <v>0</v>
      </c>
      <c r="J99" s="14">
        <v>0</v>
      </c>
      <c r="K99" s="14">
        <v>0</v>
      </c>
      <c r="L99" s="14">
        <v>0</v>
      </c>
      <c r="M99" s="14">
        <v>0</v>
      </c>
      <c r="N99" s="14">
        <v>0</v>
      </c>
      <c r="O99" s="14">
        <v>0</v>
      </c>
    </row>
    <row r="100" spans="2:15" ht="14" customHeight="1" thickTop="1" thickBot="1" x14ac:dyDescent="0.2">
      <c r="B100" s="19"/>
      <c r="C100" s="296" t="str">
        <f t="shared" ref="C100" si="25">+C82</f>
        <v>Total</v>
      </c>
      <c r="D100" s="17">
        <f t="shared" ref="D100:O100" si="26">+D93+D94+D95+D96+D97+D98+D99</f>
        <v>125</v>
      </c>
      <c r="E100" s="17">
        <f t="shared" si="26"/>
        <v>136</v>
      </c>
      <c r="F100" s="17">
        <f t="shared" si="26"/>
        <v>139</v>
      </c>
      <c r="G100" s="17">
        <f t="shared" si="26"/>
        <v>148</v>
      </c>
      <c r="H100" s="17">
        <f t="shared" si="26"/>
        <v>152</v>
      </c>
      <c r="I100" s="17">
        <f t="shared" si="26"/>
        <v>160</v>
      </c>
      <c r="J100" s="17">
        <f t="shared" si="26"/>
        <v>166</v>
      </c>
      <c r="K100" s="17">
        <f t="shared" si="26"/>
        <v>163</v>
      </c>
      <c r="L100" s="17">
        <f t="shared" si="26"/>
        <v>155</v>
      </c>
      <c r="M100" s="17">
        <f t="shared" si="26"/>
        <v>150</v>
      </c>
      <c r="N100" s="17">
        <f t="shared" si="26"/>
        <v>145</v>
      </c>
      <c r="O100" s="17">
        <f t="shared" si="26"/>
        <v>155</v>
      </c>
    </row>
    <row r="101" spans="2:15" ht="14" customHeight="1" thickTop="1" thickBot="1" x14ac:dyDescent="0.2">
      <c r="B101" s="124" t="s">
        <v>2</v>
      </c>
      <c r="C101" s="297" t="str">
        <f>+'Calendrier 2021'!C19</f>
        <v>Jeudi</v>
      </c>
      <c r="D101" s="77">
        <f>+'Calendrier 2021'!D19</f>
        <v>44203</v>
      </c>
      <c r="E101" s="77" t="str">
        <f>+'Calendrier 2021'!E19</f>
        <v>11 fev 2021</v>
      </c>
      <c r="F101" s="77">
        <f>+'Calendrier 2021'!F19</f>
        <v>44266</v>
      </c>
      <c r="G101" s="77">
        <f>+'Calendrier 2021'!G19</f>
        <v>44294</v>
      </c>
      <c r="H101" s="77">
        <f>+'Calendrier 2021'!H19</f>
        <v>44322</v>
      </c>
      <c r="I101" s="77">
        <f>+'Calendrier 2021'!I19</f>
        <v>44357</v>
      </c>
      <c r="J101" s="77">
        <f>+'Calendrier 2021'!J19</f>
        <v>44385</v>
      </c>
      <c r="K101" s="77">
        <f>+'Calendrier 2021'!K19</f>
        <v>44413</v>
      </c>
      <c r="L101" s="77">
        <f>+'Calendrier 2021'!L19</f>
        <v>44448</v>
      </c>
      <c r="M101" s="77">
        <f>+'Calendrier 2021'!M19</f>
        <v>44476</v>
      </c>
      <c r="N101" s="77">
        <f>+'Calendrier 2021'!N19</f>
        <v>44511</v>
      </c>
      <c r="O101" s="78" t="str">
        <f>+'Calendrier 2021'!O19</f>
        <v>9 dec 2021</v>
      </c>
    </row>
    <row r="102" spans="2:15" ht="14" customHeight="1" thickTop="1" thickBot="1" x14ac:dyDescent="0.2">
      <c r="B102" s="18">
        <v>1</v>
      </c>
      <c r="C102" s="100" t="str">
        <f t="shared" ref="C102:C108" si="27">C93</f>
        <v>6 h à 9 h 30</v>
      </c>
      <c r="D102" s="12">
        <v>20</v>
      </c>
      <c r="E102" s="12">
        <v>20</v>
      </c>
      <c r="F102" s="12">
        <v>20</v>
      </c>
      <c r="G102" s="12">
        <v>20</v>
      </c>
      <c r="H102" s="12">
        <v>20</v>
      </c>
      <c r="I102" s="12">
        <v>20</v>
      </c>
      <c r="J102" s="12">
        <v>20</v>
      </c>
      <c r="K102" s="12">
        <v>20</v>
      </c>
      <c r="L102" s="12">
        <v>20</v>
      </c>
      <c r="M102" s="12">
        <v>20</v>
      </c>
      <c r="N102" s="12">
        <v>20</v>
      </c>
      <c r="O102" s="12">
        <v>20</v>
      </c>
    </row>
    <row r="103" spans="2:15" ht="14" customHeight="1" thickTop="1" thickBot="1" x14ac:dyDescent="0.2">
      <c r="B103" s="121">
        <v>2</v>
      </c>
      <c r="C103" s="102" t="str">
        <f t="shared" si="27"/>
        <v>9 h 30 à 11 h 30</v>
      </c>
      <c r="D103" s="14">
        <v>25</v>
      </c>
      <c r="E103" s="14">
        <v>9</v>
      </c>
      <c r="F103" s="14">
        <v>10</v>
      </c>
      <c r="G103" s="14">
        <v>14</v>
      </c>
      <c r="H103" s="14">
        <v>45</v>
      </c>
      <c r="I103" s="14">
        <v>15</v>
      </c>
      <c r="J103" s="14">
        <v>10</v>
      </c>
      <c r="K103" s="14">
        <v>28</v>
      </c>
      <c r="L103" s="14">
        <v>25</v>
      </c>
      <c r="M103" s="14">
        <v>24</v>
      </c>
      <c r="N103" s="14">
        <v>21</v>
      </c>
      <c r="O103" s="14">
        <v>25</v>
      </c>
    </row>
    <row r="104" spans="2:15" ht="14" customHeight="1" thickTop="1" thickBot="1" x14ac:dyDescent="0.2">
      <c r="B104" s="121">
        <v>3</v>
      </c>
      <c r="C104" s="102" t="str">
        <f t="shared" si="27"/>
        <v>11 h 30 à 14 h 30</v>
      </c>
      <c r="D104" s="14">
        <v>25</v>
      </c>
      <c r="E104" s="14">
        <v>50</v>
      </c>
      <c r="F104" s="14">
        <v>35</v>
      </c>
      <c r="G104" s="14">
        <v>41</v>
      </c>
      <c r="H104" s="14">
        <v>46</v>
      </c>
      <c r="I104" s="14">
        <v>45</v>
      </c>
      <c r="J104" s="14">
        <v>50</v>
      </c>
      <c r="K104" s="14">
        <v>28</v>
      </c>
      <c r="L104" s="14">
        <v>25</v>
      </c>
      <c r="M104" s="14">
        <v>24</v>
      </c>
      <c r="N104" s="14">
        <v>25</v>
      </c>
      <c r="O104" s="14">
        <v>25</v>
      </c>
    </row>
    <row r="105" spans="2:15" ht="14" customHeight="1" thickTop="1" thickBot="1" x14ac:dyDescent="0.2">
      <c r="B105" s="121">
        <v>4</v>
      </c>
      <c r="C105" s="102" t="str">
        <f t="shared" si="27"/>
        <v>14 h 30 à 17 h</v>
      </c>
      <c r="D105" s="14">
        <v>20</v>
      </c>
      <c r="E105" s="14">
        <v>9</v>
      </c>
      <c r="F105" s="14">
        <v>10</v>
      </c>
      <c r="G105" s="14">
        <v>11</v>
      </c>
      <c r="H105" s="14">
        <v>10</v>
      </c>
      <c r="I105" s="14">
        <v>15</v>
      </c>
      <c r="J105" s="14">
        <v>20</v>
      </c>
      <c r="K105" s="14">
        <v>28</v>
      </c>
      <c r="L105" s="14">
        <v>25</v>
      </c>
      <c r="M105" s="14">
        <v>24</v>
      </c>
      <c r="N105" s="14">
        <v>22</v>
      </c>
      <c r="O105" s="14">
        <v>25</v>
      </c>
    </row>
    <row r="106" spans="2:15" ht="14" customHeight="1" thickTop="1" thickBot="1" x14ac:dyDescent="0.2">
      <c r="B106" s="121">
        <v>5</v>
      </c>
      <c r="C106" s="102" t="str">
        <f t="shared" si="27"/>
        <v>17 h à 19 h</v>
      </c>
      <c r="D106" s="14">
        <v>25</v>
      </c>
      <c r="E106" s="14">
        <v>9</v>
      </c>
      <c r="F106" s="14">
        <v>35</v>
      </c>
      <c r="G106" s="14">
        <v>41</v>
      </c>
      <c r="H106" s="14">
        <v>11</v>
      </c>
      <c r="I106" s="14">
        <v>40</v>
      </c>
      <c r="J106" s="14">
        <v>16</v>
      </c>
      <c r="K106" s="14">
        <v>28</v>
      </c>
      <c r="L106" s="14">
        <v>25</v>
      </c>
      <c r="M106" s="14">
        <v>24</v>
      </c>
      <c r="N106" s="14">
        <v>25</v>
      </c>
      <c r="O106" s="14">
        <v>25</v>
      </c>
    </row>
    <row r="107" spans="2:15" ht="14" customHeight="1" thickTop="1" thickBot="1" x14ac:dyDescent="0.2">
      <c r="B107" s="121">
        <v>6</v>
      </c>
      <c r="C107" s="102" t="str">
        <f t="shared" si="27"/>
        <v>19 h à 23 h</v>
      </c>
      <c r="D107" s="14">
        <v>10</v>
      </c>
      <c r="E107" s="14">
        <v>29</v>
      </c>
      <c r="F107" s="14">
        <v>19</v>
      </c>
      <c r="G107" s="14">
        <v>11</v>
      </c>
      <c r="H107" s="14">
        <v>10</v>
      </c>
      <c r="I107" s="14">
        <v>15</v>
      </c>
      <c r="J107" s="14">
        <v>40</v>
      </c>
      <c r="K107" s="14">
        <v>21</v>
      </c>
      <c r="L107" s="14">
        <v>25</v>
      </c>
      <c r="M107" s="14">
        <v>24</v>
      </c>
      <c r="N107" s="14">
        <v>22</v>
      </c>
      <c r="O107" s="14">
        <v>25</v>
      </c>
    </row>
    <row r="108" spans="2:15" ht="14" customHeight="1" thickTop="1" thickBot="1" x14ac:dyDescent="0.2">
      <c r="B108" s="121">
        <v>7</v>
      </c>
      <c r="C108" s="102" t="str">
        <f t="shared" si="27"/>
        <v>23 h à 6 h</v>
      </c>
      <c r="D108" s="14">
        <v>0</v>
      </c>
      <c r="E108" s="14">
        <v>0</v>
      </c>
      <c r="F108" s="14">
        <v>0</v>
      </c>
      <c r="G108" s="14">
        <v>0</v>
      </c>
      <c r="H108" s="14">
        <v>0</v>
      </c>
      <c r="I108" s="14">
        <v>0</v>
      </c>
      <c r="J108" s="14">
        <v>0</v>
      </c>
      <c r="K108" s="14">
        <v>0</v>
      </c>
      <c r="L108" s="14">
        <v>0</v>
      </c>
      <c r="M108" s="14">
        <v>0</v>
      </c>
      <c r="N108" s="14">
        <v>0</v>
      </c>
      <c r="O108" s="14">
        <v>0</v>
      </c>
    </row>
    <row r="109" spans="2:15" ht="14" customHeight="1" thickTop="1" thickBot="1" x14ac:dyDescent="0.2">
      <c r="B109" s="19"/>
      <c r="C109" s="21" t="str">
        <f>+C100</f>
        <v>Total</v>
      </c>
      <c r="D109" s="17">
        <f t="shared" ref="D109:O109" si="28">+D102+D103+D104+D105+D106+D107+D108</f>
        <v>125</v>
      </c>
      <c r="E109" s="17">
        <f t="shared" si="28"/>
        <v>126</v>
      </c>
      <c r="F109" s="17">
        <f t="shared" si="28"/>
        <v>129</v>
      </c>
      <c r="G109" s="17">
        <f t="shared" si="28"/>
        <v>138</v>
      </c>
      <c r="H109" s="17">
        <f t="shared" si="28"/>
        <v>142</v>
      </c>
      <c r="I109" s="17">
        <f t="shared" si="28"/>
        <v>150</v>
      </c>
      <c r="J109" s="17">
        <f t="shared" si="28"/>
        <v>156</v>
      </c>
      <c r="K109" s="17">
        <f t="shared" si="28"/>
        <v>153</v>
      </c>
      <c r="L109" s="17">
        <f t="shared" si="28"/>
        <v>145</v>
      </c>
      <c r="M109" s="17">
        <f t="shared" si="28"/>
        <v>140</v>
      </c>
      <c r="N109" s="17">
        <f t="shared" si="28"/>
        <v>135</v>
      </c>
      <c r="O109" s="17">
        <f t="shared" si="28"/>
        <v>145</v>
      </c>
    </row>
    <row r="110" spans="2:15" ht="14" customHeight="1" thickTop="1" thickBot="1" x14ac:dyDescent="0.2">
      <c r="B110" s="124" t="s">
        <v>2</v>
      </c>
      <c r="C110" s="125" t="str">
        <f>+'Calendrier 2021'!C20</f>
        <v>Vendredi</v>
      </c>
      <c r="D110" s="77">
        <f>+'Calendrier 2021'!D20</f>
        <v>44204</v>
      </c>
      <c r="E110" s="77" t="str">
        <f>+'Calendrier 2021'!E20</f>
        <v>12 fev 2021</v>
      </c>
      <c r="F110" s="77">
        <f>+'Calendrier 2021'!F20</f>
        <v>44267</v>
      </c>
      <c r="G110" s="77">
        <f>+'Calendrier 2021'!G20</f>
        <v>44295</v>
      </c>
      <c r="H110" s="77">
        <f>+'Calendrier 2021'!H20</f>
        <v>44323</v>
      </c>
      <c r="I110" s="77">
        <f>+'Calendrier 2021'!I20</f>
        <v>44358</v>
      </c>
      <c r="J110" s="77">
        <f>+'Calendrier 2021'!J20</f>
        <v>44386</v>
      </c>
      <c r="K110" s="77">
        <f>+'Calendrier 2021'!K20</f>
        <v>44414</v>
      </c>
      <c r="L110" s="77">
        <f>+'Calendrier 2021'!L20</f>
        <v>44449</v>
      </c>
      <c r="M110" s="77">
        <f>+'Calendrier 2021'!M20</f>
        <v>44477</v>
      </c>
      <c r="N110" s="77">
        <f>+'Calendrier 2021'!N20</f>
        <v>44512</v>
      </c>
      <c r="O110" s="78" t="str">
        <f>+'Calendrier 2021'!O20</f>
        <v>10 dec 2021</v>
      </c>
    </row>
    <row r="111" spans="2:15" ht="14" customHeight="1" thickTop="1" thickBot="1" x14ac:dyDescent="0.2">
      <c r="B111" s="18">
        <v>1</v>
      </c>
      <c r="C111" s="100" t="str">
        <f t="shared" ref="C111:C117" si="29">C102</f>
        <v>6 h à 9 h 30</v>
      </c>
      <c r="D111" s="12">
        <v>20</v>
      </c>
      <c r="E111" s="12">
        <v>20</v>
      </c>
      <c r="F111" s="12">
        <v>20</v>
      </c>
      <c r="G111" s="12">
        <v>20</v>
      </c>
      <c r="H111" s="12">
        <v>20</v>
      </c>
      <c r="I111" s="12">
        <v>20</v>
      </c>
      <c r="J111" s="12">
        <v>20</v>
      </c>
      <c r="K111" s="12">
        <v>20</v>
      </c>
      <c r="L111" s="12">
        <v>20</v>
      </c>
      <c r="M111" s="12">
        <v>20</v>
      </c>
      <c r="N111" s="12">
        <v>20</v>
      </c>
      <c r="O111" s="12">
        <v>20</v>
      </c>
    </row>
    <row r="112" spans="2:15" ht="14" customHeight="1" thickTop="1" thickBot="1" x14ac:dyDescent="0.2">
      <c r="B112" s="121">
        <v>2</v>
      </c>
      <c r="C112" s="102" t="str">
        <f t="shared" si="29"/>
        <v>9 h 30 à 11 h 30</v>
      </c>
      <c r="D112" s="14">
        <v>25</v>
      </c>
      <c r="E112" s="14">
        <v>9</v>
      </c>
      <c r="F112" s="14">
        <v>10</v>
      </c>
      <c r="G112" s="14">
        <v>14</v>
      </c>
      <c r="H112" s="14">
        <v>45</v>
      </c>
      <c r="I112" s="14">
        <v>15</v>
      </c>
      <c r="J112" s="14">
        <v>10</v>
      </c>
      <c r="K112" s="14">
        <v>28</v>
      </c>
      <c r="L112" s="14">
        <v>25</v>
      </c>
      <c r="M112" s="14">
        <v>24</v>
      </c>
      <c r="N112" s="14">
        <v>21</v>
      </c>
      <c r="O112" s="14">
        <v>25</v>
      </c>
    </row>
    <row r="113" spans="2:16" ht="14" customHeight="1" thickTop="1" thickBot="1" x14ac:dyDescent="0.2">
      <c r="B113" s="121">
        <v>3</v>
      </c>
      <c r="C113" s="102" t="str">
        <f t="shared" si="29"/>
        <v>11 h 30 à 14 h 30</v>
      </c>
      <c r="D113" s="14">
        <v>25</v>
      </c>
      <c r="E113" s="14">
        <v>50</v>
      </c>
      <c r="F113" s="14">
        <v>35</v>
      </c>
      <c r="G113" s="14">
        <v>41</v>
      </c>
      <c r="H113" s="14">
        <v>46</v>
      </c>
      <c r="I113" s="14">
        <v>45</v>
      </c>
      <c r="J113" s="14">
        <v>50</v>
      </c>
      <c r="K113" s="14">
        <v>28</v>
      </c>
      <c r="L113" s="14">
        <v>25</v>
      </c>
      <c r="M113" s="14">
        <v>24</v>
      </c>
      <c r="N113" s="14">
        <v>25</v>
      </c>
      <c r="O113" s="14">
        <v>25</v>
      </c>
    </row>
    <row r="114" spans="2:16" ht="14" customHeight="1" thickTop="1" thickBot="1" x14ac:dyDescent="0.2">
      <c r="B114" s="121">
        <v>4</v>
      </c>
      <c r="C114" s="102" t="str">
        <f t="shared" si="29"/>
        <v>14 h 30 à 17 h</v>
      </c>
      <c r="D114" s="14">
        <v>10</v>
      </c>
      <c r="E114" s="14">
        <v>9</v>
      </c>
      <c r="F114" s="14">
        <v>10</v>
      </c>
      <c r="G114" s="14">
        <v>11</v>
      </c>
      <c r="H114" s="14">
        <v>10</v>
      </c>
      <c r="I114" s="14">
        <v>15</v>
      </c>
      <c r="J114" s="14">
        <v>20</v>
      </c>
      <c r="K114" s="14">
        <v>28</v>
      </c>
      <c r="L114" s="14">
        <v>25</v>
      </c>
      <c r="M114" s="14">
        <v>24</v>
      </c>
      <c r="N114" s="14">
        <v>22</v>
      </c>
      <c r="O114" s="14">
        <v>25</v>
      </c>
    </row>
    <row r="115" spans="2:16" ht="14" customHeight="1" thickTop="1" thickBot="1" x14ac:dyDescent="0.2">
      <c r="B115" s="121">
        <v>5</v>
      </c>
      <c r="C115" s="102" t="str">
        <f t="shared" si="29"/>
        <v>17 h à 19 h</v>
      </c>
      <c r="D115" s="14">
        <v>25</v>
      </c>
      <c r="E115" s="14">
        <v>9</v>
      </c>
      <c r="F115" s="14">
        <v>35</v>
      </c>
      <c r="G115" s="14">
        <v>41</v>
      </c>
      <c r="H115" s="14">
        <v>11</v>
      </c>
      <c r="I115" s="14">
        <v>40</v>
      </c>
      <c r="J115" s="14">
        <v>16</v>
      </c>
      <c r="K115" s="14">
        <v>28</v>
      </c>
      <c r="L115" s="14">
        <v>25</v>
      </c>
      <c r="M115" s="14">
        <v>24</v>
      </c>
      <c r="N115" s="14">
        <v>25</v>
      </c>
      <c r="O115" s="14">
        <v>25</v>
      </c>
    </row>
    <row r="116" spans="2:16" ht="14" customHeight="1" thickTop="1" thickBot="1" x14ac:dyDescent="0.2">
      <c r="B116" s="121">
        <v>6</v>
      </c>
      <c r="C116" s="102" t="str">
        <f t="shared" si="29"/>
        <v>19 h à 23 h</v>
      </c>
      <c r="D116" s="14">
        <v>10</v>
      </c>
      <c r="E116" s="14">
        <v>29</v>
      </c>
      <c r="F116" s="14">
        <v>19</v>
      </c>
      <c r="G116" s="14">
        <v>11</v>
      </c>
      <c r="H116" s="14">
        <v>10</v>
      </c>
      <c r="I116" s="14">
        <v>15</v>
      </c>
      <c r="J116" s="14">
        <v>40</v>
      </c>
      <c r="K116" s="14">
        <v>21</v>
      </c>
      <c r="L116" s="14">
        <v>25</v>
      </c>
      <c r="M116" s="14">
        <v>24</v>
      </c>
      <c r="N116" s="14">
        <v>22</v>
      </c>
      <c r="O116" s="14">
        <v>25</v>
      </c>
    </row>
    <row r="117" spans="2:16" ht="14" customHeight="1" thickTop="1" thickBot="1" x14ac:dyDescent="0.2">
      <c r="B117" s="121">
        <v>7</v>
      </c>
      <c r="C117" s="102" t="str">
        <f t="shared" si="29"/>
        <v>23 h à 6 h</v>
      </c>
      <c r="D117" s="14">
        <v>0</v>
      </c>
      <c r="E117" s="14">
        <v>0</v>
      </c>
      <c r="F117" s="14">
        <v>0</v>
      </c>
      <c r="G117" s="14">
        <v>0</v>
      </c>
      <c r="H117" s="14">
        <v>0</v>
      </c>
      <c r="I117" s="14">
        <v>0</v>
      </c>
      <c r="J117" s="14">
        <v>0</v>
      </c>
      <c r="K117" s="14">
        <v>0</v>
      </c>
      <c r="L117" s="14">
        <v>0</v>
      </c>
      <c r="M117" s="14">
        <v>0</v>
      </c>
      <c r="N117" s="14">
        <v>0</v>
      </c>
      <c r="O117" s="14">
        <v>0</v>
      </c>
    </row>
    <row r="118" spans="2:16" ht="14" customHeight="1" thickTop="1" thickBot="1" x14ac:dyDescent="0.2">
      <c r="B118" s="19"/>
      <c r="C118" s="296" t="str">
        <f t="shared" ref="C118" si="30">+C109</f>
        <v>Total</v>
      </c>
      <c r="D118" s="17">
        <f t="shared" ref="D118:O118" si="31">+D111+D112+D113+D114+D115+D116+D117</f>
        <v>115</v>
      </c>
      <c r="E118" s="17">
        <f t="shared" si="31"/>
        <v>126</v>
      </c>
      <c r="F118" s="17">
        <f t="shared" si="31"/>
        <v>129</v>
      </c>
      <c r="G118" s="17">
        <f t="shared" si="31"/>
        <v>138</v>
      </c>
      <c r="H118" s="17">
        <f t="shared" si="31"/>
        <v>142</v>
      </c>
      <c r="I118" s="17">
        <f t="shared" si="31"/>
        <v>150</v>
      </c>
      <c r="J118" s="17">
        <f t="shared" si="31"/>
        <v>156</v>
      </c>
      <c r="K118" s="17">
        <f t="shared" si="31"/>
        <v>153</v>
      </c>
      <c r="L118" s="17">
        <f t="shared" si="31"/>
        <v>145</v>
      </c>
      <c r="M118" s="17">
        <f t="shared" si="31"/>
        <v>140</v>
      </c>
      <c r="N118" s="17">
        <f t="shared" si="31"/>
        <v>135</v>
      </c>
      <c r="O118" s="17">
        <f t="shared" si="31"/>
        <v>145</v>
      </c>
    </row>
    <row r="119" spans="2:16" ht="14" customHeight="1" thickTop="1" thickBot="1" x14ac:dyDescent="0.2">
      <c r="B119" s="124" t="s">
        <v>2</v>
      </c>
      <c r="C119" s="297" t="str">
        <f>+'Calendrier 2021'!C21</f>
        <v>Samedi</v>
      </c>
      <c r="D119" s="77">
        <f>+'Calendrier 2021'!D21</f>
        <v>44205</v>
      </c>
      <c r="E119" s="77" t="str">
        <f>+'Calendrier 2021'!E21</f>
        <v>13 fev 2021</v>
      </c>
      <c r="F119" s="77">
        <f>+'Calendrier 2021'!F21</f>
        <v>44268</v>
      </c>
      <c r="G119" s="77">
        <f>+'Calendrier 2021'!G21</f>
        <v>44296</v>
      </c>
      <c r="H119" s="77">
        <f>+'Calendrier 2021'!H21</f>
        <v>44324</v>
      </c>
      <c r="I119" s="77">
        <f>+'Calendrier 2021'!I21</f>
        <v>44359</v>
      </c>
      <c r="J119" s="77">
        <f>+'Calendrier 2021'!J21</f>
        <v>44387</v>
      </c>
      <c r="K119" s="77">
        <f>+'Calendrier 2021'!K21</f>
        <v>44415</v>
      </c>
      <c r="L119" s="77">
        <f>+'Calendrier 2021'!L21</f>
        <v>44450</v>
      </c>
      <c r="M119" s="77">
        <f>+'Calendrier 2021'!M21</f>
        <v>44478</v>
      </c>
      <c r="N119" s="77">
        <f>+'Calendrier 2021'!N21</f>
        <v>44513</v>
      </c>
      <c r="O119" s="78" t="str">
        <f>+'Calendrier 2021'!O21</f>
        <v>11 dec 2021</v>
      </c>
    </row>
    <row r="120" spans="2:16" ht="14" customHeight="1" thickTop="1" thickBot="1" x14ac:dyDescent="0.2">
      <c r="B120" s="18">
        <v>1</v>
      </c>
      <c r="C120" s="100" t="str">
        <f t="shared" ref="C120:C126" si="32">C111</f>
        <v>6 h à 9 h 30</v>
      </c>
      <c r="D120" s="12">
        <v>20</v>
      </c>
      <c r="E120" s="12">
        <v>20</v>
      </c>
      <c r="F120" s="12">
        <v>20</v>
      </c>
      <c r="G120" s="12">
        <v>20</v>
      </c>
      <c r="H120" s="12">
        <v>20</v>
      </c>
      <c r="I120" s="12">
        <v>20</v>
      </c>
      <c r="J120" s="12">
        <v>20</v>
      </c>
      <c r="K120" s="12">
        <v>20</v>
      </c>
      <c r="L120" s="12">
        <v>20</v>
      </c>
      <c r="M120" s="12">
        <v>20</v>
      </c>
      <c r="N120" s="12">
        <v>20</v>
      </c>
      <c r="O120" s="12">
        <v>20</v>
      </c>
      <c r="P120" s="23" t="s">
        <v>2</v>
      </c>
    </row>
    <row r="121" spans="2:16" ht="14" customHeight="1" thickTop="1" thickBot="1" x14ac:dyDescent="0.2">
      <c r="B121" s="18">
        <v>2</v>
      </c>
      <c r="C121" s="102" t="str">
        <f t="shared" si="32"/>
        <v>9 h 30 à 11 h 30</v>
      </c>
      <c r="D121" s="14">
        <v>25</v>
      </c>
      <c r="E121" s="14">
        <v>9</v>
      </c>
      <c r="F121" s="22">
        <v>10</v>
      </c>
      <c r="G121" s="14">
        <v>14</v>
      </c>
      <c r="H121" s="14">
        <v>45</v>
      </c>
      <c r="I121" s="14">
        <v>15</v>
      </c>
      <c r="J121" s="14">
        <v>10</v>
      </c>
      <c r="K121" s="14">
        <v>28</v>
      </c>
      <c r="L121" s="14">
        <v>25</v>
      </c>
      <c r="M121" s="14">
        <v>24</v>
      </c>
      <c r="N121" s="14">
        <v>21</v>
      </c>
      <c r="O121" s="14">
        <v>25</v>
      </c>
    </row>
    <row r="122" spans="2:16" ht="14" customHeight="1" thickTop="1" thickBot="1" x14ac:dyDescent="0.2">
      <c r="B122" s="18">
        <v>3</v>
      </c>
      <c r="C122" s="102" t="str">
        <f t="shared" si="32"/>
        <v>11 h 30 à 14 h 30</v>
      </c>
      <c r="D122" s="14">
        <v>25</v>
      </c>
      <c r="E122" s="14">
        <v>50</v>
      </c>
      <c r="F122" s="22">
        <v>35</v>
      </c>
      <c r="G122" s="14">
        <v>41</v>
      </c>
      <c r="H122" s="14">
        <v>46</v>
      </c>
      <c r="I122" s="14">
        <v>45</v>
      </c>
      <c r="J122" s="14">
        <v>50</v>
      </c>
      <c r="K122" s="14">
        <v>28</v>
      </c>
      <c r="L122" s="14">
        <v>25</v>
      </c>
      <c r="M122" s="14">
        <v>24</v>
      </c>
      <c r="N122" s="14">
        <v>25</v>
      </c>
      <c r="O122" s="14">
        <v>25</v>
      </c>
    </row>
    <row r="123" spans="2:16" ht="14" customHeight="1" thickTop="1" thickBot="1" x14ac:dyDescent="0.2">
      <c r="B123" s="18">
        <v>4</v>
      </c>
      <c r="C123" s="102" t="str">
        <f t="shared" si="32"/>
        <v>14 h 30 à 17 h</v>
      </c>
      <c r="D123" s="14">
        <v>20</v>
      </c>
      <c r="E123" s="14">
        <v>29</v>
      </c>
      <c r="F123" s="22">
        <v>20</v>
      </c>
      <c r="G123" s="14">
        <v>21</v>
      </c>
      <c r="H123" s="14">
        <v>20</v>
      </c>
      <c r="I123" s="14">
        <v>25</v>
      </c>
      <c r="J123" s="14">
        <v>30</v>
      </c>
      <c r="K123" s="14">
        <v>38</v>
      </c>
      <c r="L123" s="14">
        <v>35</v>
      </c>
      <c r="M123" s="14">
        <v>34</v>
      </c>
      <c r="N123" s="14">
        <v>32</v>
      </c>
      <c r="O123" s="14">
        <v>35</v>
      </c>
    </row>
    <row r="124" spans="2:16" ht="14" customHeight="1" thickTop="1" thickBot="1" x14ac:dyDescent="0.2">
      <c r="B124" s="18">
        <v>5</v>
      </c>
      <c r="C124" s="102" t="str">
        <f t="shared" si="32"/>
        <v>17 h à 19 h</v>
      </c>
      <c r="D124" s="14">
        <v>25</v>
      </c>
      <c r="E124" s="14">
        <v>9</v>
      </c>
      <c r="F124" s="22">
        <v>35</v>
      </c>
      <c r="G124" s="14">
        <v>41</v>
      </c>
      <c r="H124" s="14">
        <v>11</v>
      </c>
      <c r="I124" s="14">
        <v>40</v>
      </c>
      <c r="J124" s="14">
        <v>16</v>
      </c>
      <c r="K124" s="14">
        <v>28</v>
      </c>
      <c r="L124" s="14">
        <v>25</v>
      </c>
      <c r="M124" s="14">
        <v>24</v>
      </c>
      <c r="N124" s="14">
        <v>25</v>
      </c>
      <c r="O124" s="14">
        <v>25</v>
      </c>
    </row>
    <row r="125" spans="2:16" ht="14" customHeight="1" thickTop="1" thickBot="1" x14ac:dyDescent="0.2">
      <c r="B125" s="18">
        <v>6</v>
      </c>
      <c r="C125" s="102" t="str">
        <f t="shared" si="32"/>
        <v>19 h à 23 h</v>
      </c>
      <c r="D125" s="14">
        <v>10</v>
      </c>
      <c r="E125" s="14">
        <v>29</v>
      </c>
      <c r="F125" s="22">
        <v>19</v>
      </c>
      <c r="G125" s="14">
        <v>11</v>
      </c>
      <c r="H125" s="14">
        <v>10</v>
      </c>
      <c r="I125" s="14">
        <v>15</v>
      </c>
      <c r="J125" s="14">
        <v>40</v>
      </c>
      <c r="K125" s="14">
        <v>21</v>
      </c>
      <c r="L125" s="14">
        <v>25</v>
      </c>
      <c r="M125" s="14">
        <v>24</v>
      </c>
      <c r="N125" s="14">
        <v>22</v>
      </c>
      <c r="O125" s="14">
        <v>25</v>
      </c>
    </row>
    <row r="126" spans="2:16" ht="14" customHeight="1" thickTop="1" thickBot="1" x14ac:dyDescent="0.2">
      <c r="B126" s="18">
        <v>7</v>
      </c>
      <c r="C126" s="102" t="str">
        <f t="shared" si="32"/>
        <v>23 h à 6 h</v>
      </c>
      <c r="D126" s="14">
        <v>0</v>
      </c>
      <c r="E126" s="14">
        <v>0</v>
      </c>
      <c r="F126" s="22">
        <v>0</v>
      </c>
      <c r="G126" s="14">
        <v>0</v>
      </c>
      <c r="H126" s="14">
        <v>0</v>
      </c>
      <c r="I126" s="14">
        <v>0</v>
      </c>
      <c r="J126" s="14">
        <v>0</v>
      </c>
      <c r="K126" s="14">
        <v>0</v>
      </c>
      <c r="L126" s="14">
        <v>0</v>
      </c>
      <c r="M126" s="14">
        <v>0</v>
      </c>
      <c r="N126" s="14">
        <v>0</v>
      </c>
      <c r="O126" s="14">
        <v>0</v>
      </c>
    </row>
    <row r="127" spans="2:16" ht="14" customHeight="1" thickTop="1" thickBot="1" x14ac:dyDescent="0.2">
      <c r="B127" s="19"/>
      <c r="C127" s="21" t="str">
        <f t="shared" ref="C127" si="33">+C118</f>
        <v>Total</v>
      </c>
      <c r="D127" s="17">
        <f>+D120+D121+D122+D123+D124+D125+D126</f>
        <v>125</v>
      </c>
      <c r="E127" s="17">
        <f>+E120+E121+E122+E123+E124+E125+E126</f>
        <v>146</v>
      </c>
      <c r="F127" s="17">
        <f>+F120+F121+F122+F123+F124+F125+F126</f>
        <v>139</v>
      </c>
      <c r="G127" s="17">
        <f t="shared" ref="G127:N127" si="34">+G120+G121+G122+G123+G124+G125+G126</f>
        <v>148</v>
      </c>
      <c r="H127" s="17">
        <f t="shared" si="34"/>
        <v>152</v>
      </c>
      <c r="I127" s="17">
        <f t="shared" si="34"/>
        <v>160</v>
      </c>
      <c r="J127" s="17">
        <f t="shared" si="34"/>
        <v>166</v>
      </c>
      <c r="K127" s="17">
        <f t="shared" si="34"/>
        <v>163</v>
      </c>
      <c r="L127" s="17">
        <f t="shared" si="34"/>
        <v>155</v>
      </c>
      <c r="M127" s="17">
        <f t="shared" si="34"/>
        <v>150</v>
      </c>
      <c r="N127" s="17">
        <f t="shared" si="34"/>
        <v>145</v>
      </c>
      <c r="O127" s="24">
        <f>+O120+O121+O122+O123+O124+O125+O126</f>
        <v>155</v>
      </c>
    </row>
    <row r="128" spans="2:16" ht="14" customHeight="1" thickTop="1" thickBot="1" x14ac:dyDescent="0.2">
      <c r="B128" s="124" t="s">
        <v>2</v>
      </c>
      <c r="C128" s="125" t="str">
        <f>+'Calendrier 2021'!C22</f>
        <v>Dimanche</v>
      </c>
      <c r="D128" s="77">
        <f>+'Calendrier 2021'!D22</f>
        <v>44206</v>
      </c>
      <c r="E128" s="77" t="str">
        <f>+'Calendrier 2021'!E22</f>
        <v>14 fev 2021</v>
      </c>
      <c r="F128" s="77">
        <f>+'Calendrier 2021'!F22</f>
        <v>44269</v>
      </c>
      <c r="G128" s="77">
        <f>+'Calendrier 2021'!G22</f>
        <v>44297</v>
      </c>
      <c r="H128" s="77">
        <f>+'Calendrier 2021'!H22</f>
        <v>44325</v>
      </c>
      <c r="I128" s="77">
        <f>+'Calendrier 2021'!I22</f>
        <v>44360</v>
      </c>
      <c r="J128" s="77">
        <f>+'Calendrier 2021'!J22</f>
        <v>44388</v>
      </c>
      <c r="K128" s="77">
        <f>+'Calendrier 2021'!K22</f>
        <v>44416</v>
      </c>
      <c r="L128" s="77">
        <f>+'Calendrier 2021'!L22</f>
        <v>44451</v>
      </c>
      <c r="M128" s="77">
        <f>+'Calendrier 2021'!M22</f>
        <v>44479</v>
      </c>
      <c r="N128" s="77">
        <f>+'Calendrier 2021'!N22</f>
        <v>44514</v>
      </c>
      <c r="O128" s="78" t="str">
        <f>+'Calendrier 2021'!O22</f>
        <v>12 dec 2021</v>
      </c>
    </row>
    <row r="129" spans="2:15" ht="14" customHeight="1" thickTop="1" thickBot="1" x14ac:dyDescent="0.2">
      <c r="B129" s="121">
        <v>1</v>
      </c>
      <c r="C129" s="100" t="str">
        <f t="shared" ref="C129:C135" si="35">C120</f>
        <v>6 h à 9 h 30</v>
      </c>
      <c r="D129" s="12">
        <v>20</v>
      </c>
      <c r="E129" s="12">
        <v>20</v>
      </c>
      <c r="F129" s="12">
        <v>20</v>
      </c>
      <c r="G129" s="12">
        <v>20</v>
      </c>
      <c r="H129" s="12">
        <v>20</v>
      </c>
      <c r="I129" s="12">
        <v>20</v>
      </c>
      <c r="J129" s="12">
        <v>20</v>
      </c>
      <c r="K129" s="12">
        <v>20</v>
      </c>
      <c r="L129" s="12">
        <v>20</v>
      </c>
      <c r="M129" s="12">
        <v>20</v>
      </c>
      <c r="N129" s="12">
        <v>20</v>
      </c>
      <c r="O129" s="12">
        <v>20</v>
      </c>
    </row>
    <row r="130" spans="2:15" ht="14" customHeight="1" thickTop="1" thickBot="1" x14ac:dyDescent="0.2">
      <c r="B130" s="18">
        <v>2</v>
      </c>
      <c r="C130" s="102" t="str">
        <f t="shared" si="35"/>
        <v>9 h 30 à 11 h 30</v>
      </c>
      <c r="D130" s="14">
        <v>25</v>
      </c>
      <c r="E130" s="14">
        <v>9</v>
      </c>
      <c r="F130" s="22">
        <v>10</v>
      </c>
      <c r="G130" s="14">
        <v>14</v>
      </c>
      <c r="H130" s="14">
        <v>45</v>
      </c>
      <c r="I130" s="14">
        <v>15</v>
      </c>
      <c r="J130" s="14">
        <v>10</v>
      </c>
      <c r="K130" s="14">
        <v>28</v>
      </c>
      <c r="L130" s="14">
        <v>25</v>
      </c>
      <c r="M130" s="14">
        <v>24</v>
      </c>
      <c r="N130" s="14">
        <v>21</v>
      </c>
      <c r="O130" s="14">
        <v>25</v>
      </c>
    </row>
    <row r="131" spans="2:15" ht="14" customHeight="1" thickTop="1" thickBot="1" x14ac:dyDescent="0.2">
      <c r="B131" s="18">
        <v>3</v>
      </c>
      <c r="C131" s="102" t="str">
        <f t="shared" si="35"/>
        <v>11 h 30 à 14 h 30</v>
      </c>
      <c r="D131" s="14">
        <v>25</v>
      </c>
      <c r="E131" s="14">
        <v>50</v>
      </c>
      <c r="F131" s="22">
        <v>35</v>
      </c>
      <c r="G131" s="14">
        <v>41</v>
      </c>
      <c r="H131" s="14">
        <v>46</v>
      </c>
      <c r="I131" s="14">
        <v>45</v>
      </c>
      <c r="J131" s="14">
        <v>50</v>
      </c>
      <c r="K131" s="14">
        <v>28</v>
      </c>
      <c r="L131" s="14">
        <v>25</v>
      </c>
      <c r="M131" s="14">
        <v>24</v>
      </c>
      <c r="N131" s="14">
        <v>25</v>
      </c>
      <c r="O131" s="14">
        <v>25</v>
      </c>
    </row>
    <row r="132" spans="2:15" ht="14" customHeight="1" thickTop="1" thickBot="1" x14ac:dyDescent="0.2">
      <c r="B132" s="18">
        <v>4</v>
      </c>
      <c r="C132" s="102" t="str">
        <f t="shared" si="35"/>
        <v>14 h 30 à 17 h</v>
      </c>
      <c r="D132" s="14">
        <v>10</v>
      </c>
      <c r="E132" s="14">
        <v>9</v>
      </c>
      <c r="F132" s="22">
        <v>10</v>
      </c>
      <c r="G132" s="14">
        <v>11</v>
      </c>
      <c r="H132" s="14">
        <v>10</v>
      </c>
      <c r="I132" s="14">
        <v>15</v>
      </c>
      <c r="J132" s="14">
        <v>20</v>
      </c>
      <c r="K132" s="14">
        <v>28</v>
      </c>
      <c r="L132" s="14">
        <v>25</v>
      </c>
      <c r="M132" s="14">
        <v>24</v>
      </c>
      <c r="N132" s="14">
        <v>22</v>
      </c>
      <c r="O132" s="14">
        <v>25</v>
      </c>
    </row>
    <row r="133" spans="2:15" ht="14" customHeight="1" thickTop="1" thickBot="1" x14ac:dyDescent="0.2">
      <c r="B133" s="18">
        <v>5</v>
      </c>
      <c r="C133" s="102" t="str">
        <f t="shared" si="35"/>
        <v>17 h à 19 h</v>
      </c>
      <c r="D133" s="14">
        <v>25</v>
      </c>
      <c r="E133" s="14">
        <v>9</v>
      </c>
      <c r="F133" s="22">
        <v>35</v>
      </c>
      <c r="G133" s="14">
        <v>41</v>
      </c>
      <c r="H133" s="14">
        <v>11</v>
      </c>
      <c r="I133" s="14">
        <v>40</v>
      </c>
      <c r="J133" s="14">
        <v>16</v>
      </c>
      <c r="K133" s="14">
        <v>28</v>
      </c>
      <c r="L133" s="14">
        <v>25</v>
      </c>
      <c r="M133" s="14">
        <v>24</v>
      </c>
      <c r="N133" s="14">
        <v>25</v>
      </c>
      <c r="O133" s="14">
        <v>25</v>
      </c>
    </row>
    <row r="134" spans="2:15" ht="14" customHeight="1" thickTop="1" thickBot="1" x14ac:dyDescent="0.2">
      <c r="B134" s="18">
        <v>6</v>
      </c>
      <c r="C134" s="102" t="str">
        <f t="shared" si="35"/>
        <v>19 h à 23 h</v>
      </c>
      <c r="D134" s="14">
        <v>10</v>
      </c>
      <c r="E134" s="14">
        <v>29</v>
      </c>
      <c r="F134" s="22">
        <v>19</v>
      </c>
      <c r="G134" s="14">
        <v>11</v>
      </c>
      <c r="H134" s="14">
        <v>10</v>
      </c>
      <c r="I134" s="14">
        <v>15</v>
      </c>
      <c r="J134" s="14">
        <v>40</v>
      </c>
      <c r="K134" s="14">
        <v>21</v>
      </c>
      <c r="L134" s="14">
        <v>25</v>
      </c>
      <c r="M134" s="14">
        <v>24</v>
      </c>
      <c r="N134" s="14">
        <v>22</v>
      </c>
      <c r="O134" s="14">
        <v>25</v>
      </c>
    </row>
    <row r="135" spans="2:15" ht="14" customHeight="1" thickTop="1" thickBot="1" x14ac:dyDescent="0.2">
      <c r="B135" s="18">
        <v>7</v>
      </c>
      <c r="C135" s="102" t="str">
        <f t="shared" si="35"/>
        <v>23 h à 6 h</v>
      </c>
      <c r="D135" s="14">
        <v>0</v>
      </c>
      <c r="E135" s="14">
        <v>0</v>
      </c>
      <c r="F135" s="22">
        <v>0</v>
      </c>
      <c r="G135" s="14">
        <v>0</v>
      </c>
      <c r="H135" s="14">
        <v>0</v>
      </c>
      <c r="I135" s="14">
        <v>0</v>
      </c>
      <c r="J135" s="14">
        <v>0</v>
      </c>
      <c r="K135" s="14">
        <v>0</v>
      </c>
      <c r="L135" s="14">
        <v>0</v>
      </c>
      <c r="M135" s="14">
        <v>0</v>
      </c>
      <c r="N135" s="14">
        <v>0</v>
      </c>
      <c r="O135" s="14">
        <v>0</v>
      </c>
    </row>
    <row r="136" spans="2:15" ht="14" customHeight="1" thickTop="1" thickBot="1" x14ac:dyDescent="0.2">
      <c r="B136" s="18"/>
      <c r="C136" s="16" t="str">
        <f t="shared" ref="C136" si="36">+C127</f>
        <v>Total</v>
      </c>
      <c r="D136" s="24">
        <f t="shared" ref="D136:L136" si="37">+D129+D130+D131+D132+D133+D134+D135</f>
        <v>115</v>
      </c>
      <c r="E136" s="24">
        <f t="shared" si="37"/>
        <v>126</v>
      </c>
      <c r="F136" s="24">
        <f t="shared" si="37"/>
        <v>129</v>
      </c>
      <c r="G136" s="24">
        <f t="shared" si="37"/>
        <v>138</v>
      </c>
      <c r="H136" s="24">
        <f t="shared" si="37"/>
        <v>142</v>
      </c>
      <c r="I136" s="24">
        <f t="shared" si="37"/>
        <v>150</v>
      </c>
      <c r="J136" s="24">
        <f t="shared" si="37"/>
        <v>156</v>
      </c>
      <c r="K136" s="24">
        <f t="shared" si="37"/>
        <v>153</v>
      </c>
      <c r="L136" s="24">
        <f t="shared" si="37"/>
        <v>145</v>
      </c>
      <c r="M136" s="24">
        <f>+M129+M130+M131+M132+M133+M134+M135</f>
        <v>140</v>
      </c>
      <c r="N136" s="24">
        <f>+N129+N130+N131+N132+N133+N134+N135</f>
        <v>135</v>
      </c>
      <c r="O136" s="24">
        <f>+O129+O130+O131+O132+O133+O134+O135</f>
        <v>145</v>
      </c>
    </row>
    <row r="137" spans="2:15" ht="14" customHeight="1" thickTop="1" thickBot="1" x14ac:dyDescent="0.2">
      <c r="B137" s="1262" t="s">
        <v>18</v>
      </c>
      <c r="C137" s="1263"/>
      <c r="D137" s="1263"/>
      <c r="E137" s="1263"/>
      <c r="F137" s="1263"/>
      <c r="G137" s="1263"/>
      <c r="H137" s="1263"/>
      <c r="I137" s="1263"/>
      <c r="J137" s="1263"/>
      <c r="K137" s="1263"/>
      <c r="L137" s="1263"/>
      <c r="M137" s="1263"/>
      <c r="N137" s="1263"/>
      <c r="O137" s="1264"/>
    </row>
    <row r="138" spans="2:15" ht="14" customHeight="1" thickTop="1" thickBot="1" x14ac:dyDescent="0.2">
      <c r="B138" s="128">
        <f>+'Calendrier 2021'!B23</f>
        <v>3</v>
      </c>
      <c r="C138" s="129" t="str">
        <f>+'Calendrier 2021'!C23</f>
        <v>Lundi</v>
      </c>
      <c r="D138" s="130">
        <f>+'Calendrier 2021'!D23</f>
        <v>44207</v>
      </c>
      <c r="E138" s="130" t="str">
        <f>+'Calendrier 2021'!E23</f>
        <v>15 fev 2021</v>
      </c>
      <c r="F138" s="130">
        <f>+'Calendrier 2021'!F23</f>
        <v>44270</v>
      </c>
      <c r="G138" s="130">
        <f>+'Calendrier 2021'!G23</f>
        <v>44298</v>
      </c>
      <c r="H138" s="130">
        <f>+'Calendrier 2021'!H23</f>
        <v>44326</v>
      </c>
      <c r="I138" s="130">
        <f>+'Calendrier 2021'!I23</f>
        <v>44361</v>
      </c>
      <c r="J138" s="130">
        <f>+'Calendrier 2021'!J23</f>
        <v>44389</v>
      </c>
      <c r="K138" s="130">
        <f>+'Calendrier 2021'!K23</f>
        <v>44417</v>
      </c>
      <c r="L138" s="130">
        <f>+'Calendrier 2021'!L23</f>
        <v>44452</v>
      </c>
      <c r="M138" s="130">
        <f>+'Calendrier 2021'!M23</f>
        <v>44480</v>
      </c>
      <c r="N138" s="130">
        <f>+'Calendrier 2021'!N23</f>
        <v>44515</v>
      </c>
      <c r="O138" s="131" t="str">
        <f>+'Calendrier 2021'!O23</f>
        <v>13 dec 2021</v>
      </c>
    </row>
    <row r="139" spans="2:15" ht="14" customHeight="1" thickTop="1" x14ac:dyDescent="0.15">
      <c r="B139" s="11">
        <v>1</v>
      </c>
      <c r="C139" s="100" t="str">
        <f t="shared" ref="C139:C145" si="38">C129</f>
        <v>6 h à 9 h 30</v>
      </c>
      <c r="D139" s="12">
        <v>20</v>
      </c>
      <c r="E139" s="12">
        <v>20</v>
      </c>
      <c r="F139" s="12">
        <v>20</v>
      </c>
      <c r="G139" s="12">
        <v>20</v>
      </c>
      <c r="H139" s="12">
        <v>20</v>
      </c>
      <c r="I139" s="12">
        <v>20</v>
      </c>
      <c r="J139" s="12">
        <v>20</v>
      </c>
      <c r="K139" s="12">
        <v>20</v>
      </c>
      <c r="L139" s="12">
        <v>20</v>
      </c>
      <c r="M139" s="12">
        <v>20</v>
      </c>
      <c r="N139" s="12">
        <v>20</v>
      </c>
      <c r="O139" s="12">
        <v>20</v>
      </c>
    </row>
    <row r="140" spans="2:15" ht="14" customHeight="1" x14ac:dyDescent="0.15">
      <c r="B140" s="13">
        <v>2</v>
      </c>
      <c r="C140" s="102" t="str">
        <f t="shared" si="38"/>
        <v>9 h 30 à 11 h 30</v>
      </c>
      <c r="D140" s="14">
        <v>25</v>
      </c>
      <c r="E140" s="14">
        <v>9</v>
      </c>
      <c r="F140" s="22">
        <v>10</v>
      </c>
      <c r="G140" s="14">
        <v>14</v>
      </c>
      <c r="H140" s="14">
        <v>45</v>
      </c>
      <c r="I140" s="14">
        <v>15</v>
      </c>
      <c r="J140" s="14">
        <v>10</v>
      </c>
      <c r="K140" s="14">
        <v>28</v>
      </c>
      <c r="L140" s="14">
        <v>25</v>
      </c>
      <c r="M140" s="14">
        <v>24</v>
      </c>
      <c r="N140" s="14">
        <v>21</v>
      </c>
      <c r="O140" s="14">
        <v>25</v>
      </c>
    </row>
    <row r="141" spans="2:15" ht="14" customHeight="1" x14ac:dyDescent="0.15">
      <c r="B141" s="13">
        <v>3</v>
      </c>
      <c r="C141" s="102" t="str">
        <f t="shared" si="38"/>
        <v>11 h 30 à 14 h 30</v>
      </c>
      <c r="D141" s="14">
        <v>25</v>
      </c>
      <c r="E141" s="14">
        <v>50</v>
      </c>
      <c r="F141" s="22">
        <v>35</v>
      </c>
      <c r="G141" s="14">
        <v>41</v>
      </c>
      <c r="H141" s="14">
        <v>46</v>
      </c>
      <c r="I141" s="14">
        <v>45</v>
      </c>
      <c r="J141" s="14">
        <v>50</v>
      </c>
      <c r="K141" s="14">
        <v>28</v>
      </c>
      <c r="L141" s="14">
        <v>25</v>
      </c>
      <c r="M141" s="14">
        <v>24</v>
      </c>
      <c r="N141" s="14">
        <v>25</v>
      </c>
      <c r="O141" s="14">
        <v>25</v>
      </c>
    </row>
    <row r="142" spans="2:15" ht="14" customHeight="1" x14ac:dyDescent="0.15">
      <c r="B142" s="13">
        <v>4</v>
      </c>
      <c r="C142" s="102" t="str">
        <f t="shared" si="38"/>
        <v>14 h 30 à 17 h</v>
      </c>
      <c r="D142" s="14">
        <v>10</v>
      </c>
      <c r="E142" s="14">
        <v>9</v>
      </c>
      <c r="F142" s="22">
        <v>10</v>
      </c>
      <c r="G142" s="14">
        <v>11</v>
      </c>
      <c r="H142" s="14">
        <v>10</v>
      </c>
      <c r="I142" s="14">
        <v>15</v>
      </c>
      <c r="J142" s="14">
        <v>20</v>
      </c>
      <c r="K142" s="14">
        <v>28</v>
      </c>
      <c r="L142" s="14">
        <v>25</v>
      </c>
      <c r="M142" s="14">
        <v>24</v>
      </c>
      <c r="N142" s="14">
        <v>22</v>
      </c>
      <c r="O142" s="14">
        <v>25</v>
      </c>
    </row>
    <row r="143" spans="2:15" ht="14" customHeight="1" x14ac:dyDescent="0.15">
      <c r="B143" s="13">
        <v>5</v>
      </c>
      <c r="C143" s="102" t="str">
        <f t="shared" si="38"/>
        <v>17 h à 19 h</v>
      </c>
      <c r="D143" s="14">
        <v>25</v>
      </c>
      <c r="E143" s="14">
        <v>9</v>
      </c>
      <c r="F143" s="22">
        <v>35</v>
      </c>
      <c r="G143" s="14">
        <v>41</v>
      </c>
      <c r="H143" s="14">
        <v>11</v>
      </c>
      <c r="I143" s="14">
        <v>40</v>
      </c>
      <c r="J143" s="14">
        <v>16</v>
      </c>
      <c r="K143" s="14">
        <v>28</v>
      </c>
      <c r="L143" s="14">
        <v>25</v>
      </c>
      <c r="M143" s="14">
        <v>24</v>
      </c>
      <c r="N143" s="14">
        <v>25</v>
      </c>
      <c r="O143" s="14">
        <v>25</v>
      </c>
    </row>
    <row r="144" spans="2:15" ht="14" customHeight="1" x14ac:dyDescent="0.15">
      <c r="B144" s="13">
        <v>6</v>
      </c>
      <c r="C144" s="102" t="str">
        <f t="shared" si="38"/>
        <v>19 h à 23 h</v>
      </c>
      <c r="D144" s="14">
        <v>10</v>
      </c>
      <c r="E144" s="14">
        <v>29</v>
      </c>
      <c r="F144" s="22">
        <v>19</v>
      </c>
      <c r="G144" s="14">
        <v>11</v>
      </c>
      <c r="H144" s="14">
        <v>10</v>
      </c>
      <c r="I144" s="14">
        <v>15</v>
      </c>
      <c r="J144" s="14">
        <v>40</v>
      </c>
      <c r="K144" s="14">
        <v>21</v>
      </c>
      <c r="L144" s="14">
        <v>25</v>
      </c>
      <c r="M144" s="14">
        <v>24</v>
      </c>
      <c r="N144" s="14">
        <v>22</v>
      </c>
      <c r="O144" s="14">
        <v>25</v>
      </c>
    </row>
    <row r="145" spans="2:15" ht="14" customHeight="1" x14ac:dyDescent="0.15">
      <c r="B145" s="13">
        <v>7</v>
      </c>
      <c r="C145" s="102" t="str">
        <f t="shared" si="38"/>
        <v>23 h à 6 h</v>
      </c>
      <c r="D145" s="14">
        <v>0</v>
      </c>
      <c r="E145" s="14">
        <v>0</v>
      </c>
      <c r="F145" s="22">
        <v>0</v>
      </c>
      <c r="G145" s="14">
        <v>0</v>
      </c>
      <c r="H145" s="14">
        <v>0</v>
      </c>
      <c r="I145" s="14">
        <v>0</v>
      </c>
      <c r="J145" s="14">
        <v>0</v>
      </c>
      <c r="K145" s="14">
        <v>0</v>
      </c>
      <c r="L145" s="14">
        <v>0</v>
      </c>
      <c r="M145" s="14">
        <v>0</v>
      </c>
      <c r="N145" s="14">
        <v>0</v>
      </c>
      <c r="O145" s="14">
        <v>0</v>
      </c>
    </row>
    <row r="146" spans="2:15" ht="14" customHeight="1" thickBot="1" x14ac:dyDescent="0.2">
      <c r="B146" s="15"/>
      <c r="C146" s="16" t="str">
        <f>+C136</f>
        <v>Total</v>
      </c>
      <c r="D146" s="24">
        <f t="shared" ref="D146:L146" si="39">+D139+D140+D141+D142+D143+D144+D145</f>
        <v>115</v>
      </c>
      <c r="E146" s="24">
        <f t="shared" si="39"/>
        <v>126</v>
      </c>
      <c r="F146" s="24">
        <f t="shared" si="39"/>
        <v>129</v>
      </c>
      <c r="G146" s="24">
        <f t="shared" si="39"/>
        <v>138</v>
      </c>
      <c r="H146" s="24">
        <f t="shared" si="39"/>
        <v>142</v>
      </c>
      <c r="I146" s="24">
        <f t="shared" si="39"/>
        <v>150</v>
      </c>
      <c r="J146" s="24">
        <f t="shared" si="39"/>
        <v>156</v>
      </c>
      <c r="K146" s="24">
        <f t="shared" si="39"/>
        <v>153</v>
      </c>
      <c r="L146" s="24">
        <f t="shared" si="39"/>
        <v>145</v>
      </c>
      <c r="M146" s="24">
        <f>+M139+M140+M141+M142+M143+M144+M145</f>
        <v>140</v>
      </c>
      <c r="N146" s="24">
        <f>+N139+N140+N141+N142+N143+N144+N145</f>
        <v>135</v>
      </c>
      <c r="O146" s="24">
        <f>+O139+O140+O141+O142+O143+O144+O145</f>
        <v>145</v>
      </c>
    </row>
    <row r="147" spans="2:15" ht="14" customHeight="1" thickTop="1" thickBot="1" x14ac:dyDescent="0.2">
      <c r="B147" s="124" t="s">
        <v>2</v>
      </c>
      <c r="C147" s="125" t="str">
        <f>+'Calendrier 2021'!C24</f>
        <v>Mardi</v>
      </c>
      <c r="D147" s="77">
        <f>+'Calendrier 2021'!D24</f>
        <v>44208</v>
      </c>
      <c r="E147" s="77" t="str">
        <f>+'Calendrier 2021'!E24</f>
        <v>16 fev 2021</v>
      </c>
      <c r="F147" s="77">
        <f>+'Calendrier 2021'!F24</f>
        <v>44271</v>
      </c>
      <c r="G147" s="77">
        <f>'Calendrier 2021'!G24</f>
        <v>44299</v>
      </c>
      <c r="H147" s="77">
        <f>+'Calendrier 2021'!H24</f>
        <v>44327</v>
      </c>
      <c r="I147" s="77">
        <f>+'Calendrier 2021'!I24</f>
        <v>44362</v>
      </c>
      <c r="J147" s="77">
        <f>+'Calendrier 2021'!J24</f>
        <v>44390</v>
      </c>
      <c r="K147" s="77">
        <f>+'Calendrier 2021'!K24</f>
        <v>44418</v>
      </c>
      <c r="L147" s="77">
        <f>+'Calendrier 2021'!L24</f>
        <v>44453</v>
      </c>
      <c r="M147" s="77">
        <f>+'Calendrier 2021'!M24</f>
        <v>44481</v>
      </c>
      <c r="N147" s="77">
        <f>+'Calendrier 2021'!N24</f>
        <v>44516</v>
      </c>
      <c r="O147" s="78" t="str">
        <f>+'Calendrier 2021'!O24</f>
        <v>14 dec 2021</v>
      </c>
    </row>
    <row r="148" spans="2:15" ht="14" customHeight="1" thickTop="1" thickBot="1" x14ac:dyDescent="0.2">
      <c r="B148" s="18">
        <v>1</v>
      </c>
      <c r="C148" s="100" t="str">
        <f t="shared" ref="C148:C154" si="40">C139</f>
        <v>6 h à 9 h 30</v>
      </c>
      <c r="D148" s="12">
        <v>20</v>
      </c>
      <c r="E148" s="12">
        <v>20</v>
      </c>
      <c r="F148" s="12">
        <v>20</v>
      </c>
      <c r="G148" s="12">
        <v>20</v>
      </c>
      <c r="H148" s="12">
        <v>20</v>
      </c>
      <c r="I148" s="12">
        <v>20</v>
      </c>
      <c r="J148" s="12">
        <v>20</v>
      </c>
      <c r="K148" s="12">
        <v>20</v>
      </c>
      <c r="L148" s="12">
        <v>20</v>
      </c>
      <c r="M148" s="12">
        <v>20</v>
      </c>
      <c r="N148" s="12">
        <v>20</v>
      </c>
      <c r="O148" s="12">
        <v>20</v>
      </c>
    </row>
    <row r="149" spans="2:15" ht="14" customHeight="1" thickTop="1" thickBot="1" x14ac:dyDescent="0.2">
      <c r="B149" s="121">
        <v>2</v>
      </c>
      <c r="C149" s="102" t="str">
        <f t="shared" si="40"/>
        <v>9 h 30 à 11 h 30</v>
      </c>
      <c r="D149" s="14">
        <v>25</v>
      </c>
      <c r="E149" s="14">
        <v>9</v>
      </c>
      <c r="F149" s="22">
        <v>10</v>
      </c>
      <c r="G149" s="14">
        <v>14</v>
      </c>
      <c r="H149" s="14">
        <v>45</v>
      </c>
      <c r="I149" s="14">
        <v>15</v>
      </c>
      <c r="J149" s="14">
        <v>10</v>
      </c>
      <c r="K149" s="14">
        <v>28</v>
      </c>
      <c r="L149" s="14">
        <v>25</v>
      </c>
      <c r="M149" s="14">
        <v>24</v>
      </c>
      <c r="N149" s="14">
        <v>21</v>
      </c>
      <c r="O149" s="14">
        <v>25</v>
      </c>
    </row>
    <row r="150" spans="2:15" ht="14" customHeight="1" thickTop="1" thickBot="1" x14ac:dyDescent="0.2">
      <c r="B150" s="121">
        <v>3</v>
      </c>
      <c r="C150" s="102" t="str">
        <f t="shared" si="40"/>
        <v>11 h 30 à 14 h 30</v>
      </c>
      <c r="D150" s="14">
        <v>25</v>
      </c>
      <c r="E150" s="14">
        <v>50</v>
      </c>
      <c r="F150" s="22">
        <v>35</v>
      </c>
      <c r="G150" s="14">
        <v>41</v>
      </c>
      <c r="H150" s="14">
        <v>46</v>
      </c>
      <c r="I150" s="14">
        <v>45</v>
      </c>
      <c r="J150" s="14">
        <v>40</v>
      </c>
      <c r="K150" s="14">
        <v>28</v>
      </c>
      <c r="L150" s="14">
        <v>25</v>
      </c>
      <c r="M150" s="14">
        <v>24</v>
      </c>
      <c r="N150" s="14">
        <v>25</v>
      </c>
      <c r="O150" s="14">
        <v>25</v>
      </c>
    </row>
    <row r="151" spans="2:15" ht="14" customHeight="1" thickTop="1" thickBot="1" x14ac:dyDescent="0.2">
      <c r="B151" s="121">
        <v>4</v>
      </c>
      <c r="C151" s="102" t="str">
        <f t="shared" si="40"/>
        <v>14 h 30 à 17 h</v>
      </c>
      <c r="D151" s="14">
        <v>20</v>
      </c>
      <c r="E151" s="14">
        <v>29</v>
      </c>
      <c r="F151" s="22">
        <v>30</v>
      </c>
      <c r="G151" s="14">
        <v>31</v>
      </c>
      <c r="H151" s="14">
        <v>20</v>
      </c>
      <c r="I151" s="14">
        <v>25</v>
      </c>
      <c r="J151" s="14">
        <v>30</v>
      </c>
      <c r="K151" s="14">
        <v>38</v>
      </c>
      <c r="L151" s="14">
        <v>35</v>
      </c>
      <c r="M151" s="14">
        <v>34</v>
      </c>
      <c r="N151" s="14">
        <v>32</v>
      </c>
      <c r="O151" s="14">
        <v>35</v>
      </c>
    </row>
    <row r="152" spans="2:15" ht="14" customHeight="1" thickTop="1" thickBot="1" x14ac:dyDescent="0.2">
      <c r="B152" s="121">
        <v>5</v>
      </c>
      <c r="C152" s="102" t="str">
        <f t="shared" si="40"/>
        <v>17 h à 19 h</v>
      </c>
      <c r="D152" s="14">
        <v>25</v>
      </c>
      <c r="E152" s="14">
        <v>9</v>
      </c>
      <c r="F152" s="22">
        <v>35</v>
      </c>
      <c r="G152" s="14">
        <v>41</v>
      </c>
      <c r="H152" s="14">
        <v>11</v>
      </c>
      <c r="I152" s="14">
        <v>40</v>
      </c>
      <c r="J152" s="14">
        <v>16</v>
      </c>
      <c r="K152" s="14">
        <v>28</v>
      </c>
      <c r="L152" s="14">
        <v>25</v>
      </c>
      <c r="M152" s="14">
        <v>24</v>
      </c>
      <c r="N152" s="14">
        <v>25</v>
      </c>
      <c r="O152" s="14">
        <v>25</v>
      </c>
    </row>
    <row r="153" spans="2:15" ht="14" customHeight="1" thickTop="1" thickBot="1" x14ac:dyDescent="0.2">
      <c r="B153" s="121">
        <v>6</v>
      </c>
      <c r="C153" s="102" t="str">
        <f t="shared" si="40"/>
        <v>19 h à 23 h</v>
      </c>
      <c r="D153" s="14">
        <v>10</v>
      </c>
      <c r="E153" s="14">
        <v>29</v>
      </c>
      <c r="F153" s="22">
        <v>19</v>
      </c>
      <c r="G153" s="14">
        <v>11</v>
      </c>
      <c r="H153" s="14">
        <v>10</v>
      </c>
      <c r="I153" s="14">
        <v>15</v>
      </c>
      <c r="J153" s="14">
        <v>40</v>
      </c>
      <c r="K153" s="14">
        <v>21</v>
      </c>
      <c r="L153" s="14">
        <v>25</v>
      </c>
      <c r="M153" s="14">
        <v>24</v>
      </c>
      <c r="N153" s="14">
        <v>22</v>
      </c>
      <c r="O153" s="14">
        <v>25</v>
      </c>
    </row>
    <row r="154" spans="2:15" ht="14" customHeight="1" thickTop="1" thickBot="1" x14ac:dyDescent="0.2">
      <c r="B154" s="121">
        <v>7</v>
      </c>
      <c r="C154" s="102" t="str">
        <f t="shared" si="40"/>
        <v>23 h à 6 h</v>
      </c>
      <c r="D154" s="14">
        <v>0</v>
      </c>
      <c r="E154" s="14">
        <v>0</v>
      </c>
      <c r="F154" s="22">
        <v>0</v>
      </c>
      <c r="G154" s="14">
        <v>0</v>
      </c>
      <c r="H154" s="14">
        <v>0</v>
      </c>
      <c r="I154" s="14">
        <v>0</v>
      </c>
      <c r="J154" s="14">
        <v>0</v>
      </c>
      <c r="K154" s="14">
        <v>0</v>
      </c>
      <c r="L154" s="14">
        <v>0</v>
      </c>
      <c r="M154" s="14">
        <v>0</v>
      </c>
      <c r="N154" s="14">
        <v>0</v>
      </c>
      <c r="O154" s="14">
        <v>0</v>
      </c>
    </row>
    <row r="155" spans="2:15" ht="14" customHeight="1" thickTop="1" thickBot="1" x14ac:dyDescent="0.2">
      <c r="B155" s="19"/>
      <c r="C155" s="296" t="str">
        <f t="shared" ref="C155" si="41">+C146</f>
        <v>Total</v>
      </c>
      <c r="D155" s="24">
        <f t="shared" ref="D155:L155" si="42">+D148+D149+D150+D151+D152+D153+D154</f>
        <v>125</v>
      </c>
      <c r="E155" s="24">
        <f t="shared" si="42"/>
        <v>146</v>
      </c>
      <c r="F155" s="24">
        <f t="shared" si="42"/>
        <v>149</v>
      </c>
      <c r="G155" s="24">
        <f t="shared" si="42"/>
        <v>158</v>
      </c>
      <c r="H155" s="24">
        <f t="shared" si="42"/>
        <v>152</v>
      </c>
      <c r="I155" s="24">
        <f t="shared" si="42"/>
        <v>160</v>
      </c>
      <c r="J155" s="24">
        <f t="shared" si="42"/>
        <v>156</v>
      </c>
      <c r="K155" s="24">
        <f t="shared" si="42"/>
        <v>163</v>
      </c>
      <c r="L155" s="24">
        <f t="shared" si="42"/>
        <v>155</v>
      </c>
      <c r="M155" s="24">
        <f>+M148+M149+M150+M151+M152+M153+M154</f>
        <v>150</v>
      </c>
      <c r="N155" s="24">
        <f>+N148+N149+N150+N151+N152+N153+N154</f>
        <v>145</v>
      </c>
      <c r="O155" s="24">
        <f>+O148+O149+O150+O151+O152+O153+O154</f>
        <v>155</v>
      </c>
    </row>
    <row r="156" spans="2:15" ht="14" customHeight="1" thickTop="1" thickBot="1" x14ac:dyDescent="0.2">
      <c r="B156" s="124" t="s">
        <v>2</v>
      </c>
      <c r="C156" s="297" t="str">
        <f>+'Calendrier 2021'!C25</f>
        <v>Mercredi</v>
      </c>
      <c r="D156" s="77">
        <f>+'Calendrier 2021'!D25</f>
        <v>44209</v>
      </c>
      <c r="E156" s="77" t="str">
        <f>+'Calendrier 2021'!E25</f>
        <v>17 fev 2021</v>
      </c>
      <c r="F156" s="77">
        <f>+'Calendrier 2021'!F25</f>
        <v>44272</v>
      </c>
      <c r="G156" s="77">
        <f>+'Calendrier 2021'!G25</f>
        <v>44300</v>
      </c>
      <c r="H156" s="77">
        <f>+'Calendrier 2021'!H25</f>
        <v>44328</v>
      </c>
      <c r="I156" s="77">
        <f>+'Calendrier 2021'!I25</f>
        <v>44363</v>
      </c>
      <c r="J156" s="77">
        <f>+'Calendrier 2021'!J25</f>
        <v>44391</v>
      </c>
      <c r="K156" s="77">
        <f>+'Calendrier 2021'!K25</f>
        <v>44419</v>
      </c>
      <c r="L156" s="77">
        <f>+'Calendrier 2021'!L25</f>
        <v>44454</v>
      </c>
      <c r="M156" s="77">
        <f>+'Calendrier 2021'!M25</f>
        <v>44482</v>
      </c>
      <c r="N156" s="77">
        <f>+'Calendrier 2021'!N25</f>
        <v>44517</v>
      </c>
      <c r="O156" s="78" t="str">
        <f>+'Calendrier 2021'!O25</f>
        <v>15 dec 2021</v>
      </c>
    </row>
    <row r="157" spans="2:15" ht="14" customHeight="1" thickTop="1" thickBot="1" x14ac:dyDescent="0.2">
      <c r="B157" s="18">
        <v>1</v>
      </c>
      <c r="C157" s="100" t="str">
        <f t="shared" ref="C157:C163" si="43">C148</f>
        <v>6 h à 9 h 30</v>
      </c>
      <c r="D157" s="12">
        <v>20</v>
      </c>
      <c r="E157" s="12">
        <v>20</v>
      </c>
      <c r="F157" s="12">
        <v>20</v>
      </c>
      <c r="G157" s="12">
        <v>20</v>
      </c>
      <c r="H157" s="12">
        <v>20</v>
      </c>
      <c r="I157" s="12">
        <v>20</v>
      </c>
      <c r="J157" s="12">
        <v>20</v>
      </c>
      <c r="K157" s="12">
        <v>20</v>
      </c>
      <c r="L157" s="12">
        <v>20</v>
      </c>
      <c r="M157" s="12">
        <v>20</v>
      </c>
      <c r="N157" s="12">
        <v>20</v>
      </c>
      <c r="O157" s="12">
        <v>20</v>
      </c>
    </row>
    <row r="158" spans="2:15" ht="14" customHeight="1" thickTop="1" thickBot="1" x14ac:dyDescent="0.2">
      <c r="B158" s="121">
        <v>2</v>
      </c>
      <c r="C158" s="102" t="str">
        <f t="shared" si="43"/>
        <v>9 h 30 à 11 h 30</v>
      </c>
      <c r="D158" s="14">
        <v>25</v>
      </c>
      <c r="E158" s="14">
        <v>20</v>
      </c>
      <c r="F158" s="22">
        <v>10</v>
      </c>
      <c r="G158" s="14">
        <v>14</v>
      </c>
      <c r="H158" s="14">
        <v>45</v>
      </c>
      <c r="I158" s="14">
        <v>15</v>
      </c>
      <c r="J158" s="14">
        <v>10</v>
      </c>
      <c r="K158" s="14">
        <v>28</v>
      </c>
      <c r="L158" s="14">
        <v>25</v>
      </c>
      <c r="M158" s="14">
        <v>24</v>
      </c>
      <c r="N158" s="14">
        <v>21</v>
      </c>
      <c r="O158" s="14">
        <v>25</v>
      </c>
    </row>
    <row r="159" spans="2:15" ht="14" customHeight="1" thickTop="1" thickBot="1" x14ac:dyDescent="0.2">
      <c r="B159" s="121">
        <v>3</v>
      </c>
      <c r="C159" s="102" t="str">
        <f t="shared" si="43"/>
        <v>11 h 30 à 14 h 30</v>
      </c>
      <c r="D159" s="14">
        <v>25</v>
      </c>
      <c r="E159" s="14">
        <v>20</v>
      </c>
      <c r="F159" s="22">
        <v>35</v>
      </c>
      <c r="G159" s="14">
        <v>41</v>
      </c>
      <c r="H159" s="14">
        <v>46</v>
      </c>
      <c r="I159" s="14">
        <v>45</v>
      </c>
      <c r="J159" s="14">
        <v>40</v>
      </c>
      <c r="K159" s="14">
        <v>28</v>
      </c>
      <c r="L159" s="14">
        <v>25</v>
      </c>
      <c r="M159" s="14">
        <v>24</v>
      </c>
      <c r="N159" s="14">
        <v>25</v>
      </c>
      <c r="O159" s="14">
        <v>25</v>
      </c>
    </row>
    <row r="160" spans="2:15" ht="14" customHeight="1" thickTop="1" thickBot="1" x14ac:dyDescent="0.2">
      <c r="B160" s="121">
        <v>4</v>
      </c>
      <c r="C160" s="102" t="str">
        <f t="shared" si="43"/>
        <v>14 h 30 à 17 h</v>
      </c>
      <c r="D160" s="14">
        <v>10</v>
      </c>
      <c r="E160" s="14">
        <v>20</v>
      </c>
      <c r="F160" s="22">
        <v>10</v>
      </c>
      <c r="G160" s="14">
        <v>11</v>
      </c>
      <c r="H160" s="14">
        <v>10</v>
      </c>
      <c r="I160" s="14">
        <v>15</v>
      </c>
      <c r="J160" s="14">
        <v>20</v>
      </c>
      <c r="K160" s="14">
        <v>28</v>
      </c>
      <c r="L160" s="14">
        <v>25</v>
      </c>
      <c r="M160" s="14">
        <v>24</v>
      </c>
      <c r="N160" s="14">
        <v>22</v>
      </c>
      <c r="O160" s="14">
        <v>25</v>
      </c>
    </row>
    <row r="161" spans="2:15" ht="14" customHeight="1" thickTop="1" thickBot="1" x14ac:dyDescent="0.2">
      <c r="B161" s="121">
        <v>5</v>
      </c>
      <c r="C161" s="102" t="str">
        <f t="shared" si="43"/>
        <v>17 h à 19 h</v>
      </c>
      <c r="D161" s="14">
        <v>25</v>
      </c>
      <c r="E161" s="14">
        <v>20</v>
      </c>
      <c r="F161" s="22">
        <v>35</v>
      </c>
      <c r="G161" s="14">
        <v>41</v>
      </c>
      <c r="H161" s="14">
        <v>11</v>
      </c>
      <c r="I161" s="14">
        <v>40</v>
      </c>
      <c r="J161" s="14">
        <v>16</v>
      </c>
      <c r="K161" s="14">
        <v>28</v>
      </c>
      <c r="L161" s="14">
        <v>25</v>
      </c>
      <c r="M161" s="14">
        <v>24</v>
      </c>
      <c r="N161" s="14">
        <v>25</v>
      </c>
      <c r="O161" s="14">
        <v>25</v>
      </c>
    </row>
    <row r="162" spans="2:15" ht="14" customHeight="1" thickTop="1" thickBot="1" x14ac:dyDescent="0.2">
      <c r="B162" s="121">
        <v>6</v>
      </c>
      <c r="C162" s="102" t="str">
        <f t="shared" si="43"/>
        <v>19 h à 23 h</v>
      </c>
      <c r="D162" s="14">
        <v>10</v>
      </c>
      <c r="E162" s="14">
        <v>29</v>
      </c>
      <c r="F162" s="22">
        <v>19</v>
      </c>
      <c r="G162" s="14">
        <v>11</v>
      </c>
      <c r="H162" s="14">
        <v>10</v>
      </c>
      <c r="I162" s="14">
        <v>15</v>
      </c>
      <c r="J162" s="14">
        <v>40</v>
      </c>
      <c r="K162" s="14">
        <v>21</v>
      </c>
      <c r="L162" s="14">
        <v>25</v>
      </c>
      <c r="M162" s="14">
        <v>24</v>
      </c>
      <c r="N162" s="14">
        <v>22</v>
      </c>
      <c r="O162" s="14">
        <v>25</v>
      </c>
    </row>
    <row r="163" spans="2:15" ht="14" customHeight="1" thickTop="1" thickBot="1" x14ac:dyDescent="0.2">
      <c r="B163" s="121">
        <v>7</v>
      </c>
      <c r="C163" s="102" t="str">
        <f t="shared" si="43"/>
        <v>23 h à 6 h</v>
      </c>
      <c r="D163" s="14">
        <v>0</v>
      </c>
      <c r="E163" s="14">
        <v>0</v>
      </c>
      <c r="F163" s="22">
        <v>0</v>
      </c>
      <c r="G163" s="14">
        <v>0</v>
      </c>
      <c r="H163" s="14">
        <v>0</v>
      </c>
      <c r="I163" s="14">
        <v>0</v>
      </c>
      <c r="J163" s="14">
        <v>0</v>
      </c>
      <c r="K163" s="14">
        <v>0</v>
      </c>
      <c r="L163" s="14">
        <v>0</v>
      </c>
      <c r="M163" s="14">
        <v>0</v>
      </c>
      <c r="N163" s="14">
        <v>0</v>
      </c>
      <c r="O163" s="14">
        <v>0</v>
      </c>
    </row>
    <row r="164" spans="2:15" ht="14" customHeight="1" thickTop="1" thickBot="1" x14ac:dyDescent="0.2">
      <c r="B164" s="19"/>
      <c r="C164" s="21" t="str">
        <f t="shared" ref="C164" si="44">+C146</f>
        <v>Total</v>
      </c>
      <c r="D164" s="24">
        <f t="shared" ref="D164:L164" si="45">+D157+D158+D159+D160+D161+D162+D163</f>
        <v>115</v>
      </c>
      <c r="E164" s="24">
        <f t="shared" si="45"/>
        <v>129</v>
      </c>
      <c r="F164" s="24">
        <f t="shared" si="45"/>
        <v>129</v>
      </c>
      <c r="G164" s="24">
        <f t="shared" si="45"/>
        <v>138</v>
      </c>
      <c r="H164" s="24">
        <f t="shared" si="45"/>
        <v>142</v>
      </c>
      <c r="I164" s="24">
        <f t="shared" si="45"/>
        <v>150</v>
      </c>
      <c r="J164" s="24">
        <f t="shared" si="45"/>
        <v>146</v>
      </c>
      <c r="K164" s="24">
        <f t="shared" si="45"/>
        <v>153</v>
      </c>
      <c r="L164" s="24">
        <f t="shared" si="45"/>
        <v>145</v>
      </c>
      <c r="M164" s="24">
        <f>+M157+M158+M159+M160+M161+M162+M163</f>
        <v>140</v>
      </c>
      <c r="N164" s="24">
        <f>+N157+N158+N159+N160+N161+N162+N163</f>
        <v>135</v>
      </c>
      <c r="O164" s="24">
        <f>+O157+O158+O159+O160+O161+O162+O163</f>
        <v>145</v>
      </c>
    </row>
    <row r="165" spans="2:15" ht="14" customHeight="1" thickTop="1" thickBot="1" x14ac:dyDescent="0.2">
      <c r="B165" s="124" t="s">
        <v>2</v>
      </c>
      <c r="C165" s="125" t="str">
        <f>+'Calendrier 2021'!C26</f>
        <v>Jeudi</v>
      </c>
      <c r="D165" s="77">
        <f>+'Calendrier 2021'!D26</f>
        <v>44210</v>
      </c>
      <c r="E165" s="77" t="str">
        <f>+'Calendrier 2021'!E26</f>
        <v>18 fev 2021</v>
      </c>
      <c r="F165" s="77">
        <f>+'Calendrier 2021'!F26</f>
        <v>44273</v>
      </c>
      <c r="G165" s="77">
        <f>+'Calendrier 2021'!G26</f>
        <v>44301</v>
      </c>
      <c r="H165" s="77">
        <f>+'Calendrier 2021'!H26</f>
        <v>44329</v>
      </c>
      <c r="I165" s="77">
        <f>+'Calendrier 2021'!I26</f>
        <v>44364</v>
      </c>
      <c r="J165" s="77">
        <f>+'Calendrier 2021'!J26</f>
        <v>44392</v>
      </c>
      <c r="K165" s="77">
        <f>+'Calendrier 2021'!K26</f>
        <v>44420</v>
      </c>
      <c r="L165" s="77">
        <f>+'Calendrier 2021'!L26</f>
        <v>44455</v>
      </c>
      <c r="M165" s="77">
        <f>+'Calendrier 2021'!M26</f>
        <v>44483</v>
      </c>
      <c r="N165" s="77">
        <f>+'Calendrier 2021'!N26</f>
        <v>44518</v>
      </c>
      <c r="O165" s="78" t="str">
        <f>+'Calendrier 2021'!O26</f>
        <v>16 dec 2021</v>
      </c>
    </row>
    <row r="166" spans="2:15" ht="14" customHeight="1" thickTop="1" thickBot="1" x14ac:dyDescent="0.2">
      <c r="B166" s="18">
        <v>1</v>
      </c>
      <c r="C166" s="100" t="str">
        <f t="shared" ref="C166:C172" si="46">C157</f>
        <v>6 h à 9 h 30</v>
      </c>
      <c r="D166" s="12">
        <v>20</v>
      </c>
      <c r="E166" s="12">
        <v>20</v>
      </c>
      <c r="F166" s="12">
        <v>20</v>
      </c>
      <c r="G166" s="12">
        <v>20</v>
      </c>
      <c r="H166" s="12">
        <v>20</v>
      </c>
      <c r="I166" s="12">
        <v>20</v>
      </c>
      <c r="J166" s="12">
        <v>20</v>
      </c>
      <c r="K166" s="12">
        <v>20</v>
      </c>
      <c r="L166" s="12">
        <v>20</v>
      </c>
      <c r="M166" s="12">
        <v>20</v>
      </c>
      <c r="N166" s="12">
        <v>20</v>
      </c>
      <c r="O166" s="12">
        <v>20</v>
      </c>
    </row>
    <row r="167" spans="2:15" ht="14" customHeight="1" thickTop="1" thickBot="1" x14ac:dyDescent="0.2">
      <c r="B167" s="121">
        <v>2</v>
      </c>
      <c r="C167" s="102" t="str">
        <f t="shared" si="46"/>
        <v>9 h 30 à 11 h 30</v>
      </c>
      <c r="D167" s="14">
        <v>25</v>
      </c>
      <c r="E167" s="14">
        <v>9</v>
      </c>
      <c r="F167" s="22">
        <v>10</v>
      </c>
      <c r="G167" s="14">
        <v>14</v>
      </c>
      <c r="H167" s="14">
        <v>45</v>
      </c>
      <c r="I167" s="14">
        <v>15</v>
      </c>
      <c r="J167" s="14">
        <v>10</v>
      </c>
      <c r="K167" s="14">
        <v>28</v>
      </c>
      <c r="L167" s="14">
        <v>25</v>
      </c>
      <c r="M167" s="14">
        <v>24</v>
      </c>
      <c r="N167" s="14">
        <v>21</v>
      </c>
      <c r="O167" s="14">
        <v>25</v>
      </c>
    </row>
    <row r="168" spans="2:15" ht="14" customHeight="1" thickTop="1" thickBot="1" x14ac:dyDescent="0.2">
      <c r="B168" s="121">
        <v>3</v>
      </c>
      <c r="C168" s="102" t="str">
        <f t="shared" si="46"/>
        <v>11 h 30 à 14 h 30</v>
      </c>
      <c r="D168" s="14">
        <v>25</v>
      </c>
      <c r="E168" s="14">
        <v>50</v>
      </c>
      <c r="F168" s="22">
        <v>35</v>
      </c>
      <c r="G168" s="14">
        <v>41</v>
      </c>
      <c r="H168" s="14">
        <v>46</v>
      </c>
      <c r="I168" s="14">
        <v>45</v>
      </c>
      <c r="J168" s="14">
        <v>40</v>
      </c>
      <c r="K168" s="14">
        <v>28</v>
      </c>
      <c r="L168" s="14">
        <v>25</v>
      </c>
      <c r="M168" s="14">
        <v>24</v>
      </c>
      <c r="N168" s="14">
        <v>25</v>
      </c>
      <c r="O168" s="14">
        <v>25</v>
      </c>
    </row>
    <row r="169" spans="2:15" ht="14" customHeight="1" thickTop="1" thickBot="1" x14ac:dyDescent="0.2">
      <c r="B169" s="121">
        <v>4</v>
      </c>
      <c r="C169" s="102" t="str">
        <f t="shared" si="46"/>
        <v>14 h 30 à 17 h</v>
      </c>
      <c r="D169" s="14">
        <v>10</v>
      </c>
      <c r="E169" s="14">
        <v>9</v>
      </c>
      <c r="F169" s="22">
        <v>10</v>
      </c>
      <c r="G169" s="14">
        <v>11</v>
      </c>
      <c r="H169" s="14">
        <v>10</v>
      </c>
      <c r="I169" s="14">
        <v>15</v>
      </c>
      <c r="J169" s="14">
        <v>20</v>
      </c>
      <c r="K169" s="14">
        <v>28</v>
      </c>
      <c r="L169" s="14">
        <v>25</v>
      </c>
      <c r="M169" s="14">
        <v>24</v>
      </c>
      <c r="N169" s="14">
        <v>22</v>
      </c>
      <c r="O169" s="14">
        <v>25</v>
      </c>
    </row>
    <row r="170" spans="2:15" ht="14" customHeight="1" thickTop="1" thickBot="1" x14ac:dyDescent="0.2">
      <c r="B170" s="121">
        <v>5</v>
      </c>
      <c r="C170" s="102" t="str">
        <f t="shared" si="46"/>
        <v>17 h à 19 h</v>
      </c>
      <c r="D170" s="14">
        <v>25</v>
      </c>
      <c r="E170" s="14">
        <v>9</v>
      </c>
      <c r="F170" s="22">
        <v>35</v>
      </c>
      <c r="G170" s="14">
        <v>41</v>
      </c>
      <c r="H170" s="14">
        <v>11</v>
      </c>
      <c r="I170" s="14">
        <v>40</v>
      </c>
      <c r="J170" s="14">
        <v>16</v>
      </c>
      <c r="K170" s="14">
        <v>28</v>
      </c>
      <c r="L170" s="14">
        <v>25</v>
      </c>
      <c r="M170" s="14">
        <v>24</v>
      </c>
      <c r="N170" s="14">
        <v>25</v>
      </c>
      <c r="O170" s="14">
        <v>25</v>
      </c>
    </row>
    <row r="171" spans="2:15" ht="14" customHeight="1" thickTop="1" thickBot="1" x14ac:dyDescent="0.2">
      <c r="B171" s="121">
        <v>6</v>
      </c>
      <c r="C171" s="102" t="str">
        <f t="shared" si="46"/>
        <v>19 h à 23 h</v>
      </c>
      <c r="D171" s="14">
        <v>10</v>
      </c>
      <c r="E171" s="14">
        <v>29</v>
      </c>
      <c r="F171" s="22">
        <v>19</v>
      </c>
      <c r="G171" s="14">
        <v>11</v>
      </c>
      <c r="H171" s="14">
        <v>10</v>
      </c>
      <c r="I171" s="14">
        <v>15</v>
      </c>
      <c r="J171" s="14">
        <v>40</v>
      </c>
      <c r="K171" s="14">
        <v>21</v>
      </c>
      <c r="L171" s="14">
        <v>25</v>
      </c>
      <c r="M171" s="14">
        <v>24</v>
      </c>
      <c r="N171" s="14">
        <v>22</v>
      </c>
      <c r="O171" s="14">
        <v>25</v>
      </c>
    </row>
    <row r="172" spans="2:15" ht="14" customHeight="1" thickTop="1" thickBot="1" x14ac:dyDescent="0.2">
      <c r="B172" s="121">
        <v>7</v>
      </c>
      <c r="C172" s="102" t="str">
        <f t="shared" si="46"/>
        <v>23 h à 6 h</v>
      </c>
      <c r="D172" s="14">
        <v>0</v>
      </c>
      <c r="E172" s="14">
        <v>0</v>
      </c>
      <c r="F172" s="22">
        <v>0</v>
      </c>
      <c r="G172" s="14">
        <v>0</v>
      </c>
      <c r="H172" s="14">
        <v>0</v>
      </c>
      <c r="I172" s="14">
        <v>0</v>
      </c>
      <c r="J172" s="14">
        <v>0</v>
      </c>
      <c r="K172" s="14">
        <v>0</v>
      </c>
      <c r="L172" s="14">
        <v>0</v>
      </c>
      <c r="M172" s="14">
        <v>0</v>
      </c>
      <c r="N172" s="14">
        <v>0</v>
      </c>
      <c r="O172" s="14">
        <v>0</v>
      </c>
    </row>
    <row r="173" spans="2:15" ht="14" customHeight="1" thickTop="1" thickBot="1" x14ac:dyDescent="0.2">
      <c r="B173" s="19"/>
      <c r="C173" s="296" t="str">
        <f>+C164</f>
        <v>Total</v>
      </c>
      <c r="D173" s="24">
        <f t="shared" ref="D173:L173" si="47">+D166+D167+D168+D169+D170+D171+D172</f>
        <v>115</v>
      </c>
      <c r="E173" s="24">
        <f t="shared" si="47"/>
        <v>126</v>
      </c>
      <c r="F173" s="24">
        <f t="shared" si="47"/>
        <v>129</v>
      </c>
      <c r="G173" s="24">
        <f t="shared" si="47"/>
        <v>138</v>
      </c>
      <c r="H173" s="24">
        <f t="shared" si="47"/>
        <v>142</v>
      </c>
      <c r="I173" s="24">
        <f t="shared" si="47"/>
        <v>150</v>
      </c>
      <c r="J173" s="24">
        <f t="shared" si="47"/>
        <v>146</v>
      </c>
      <c r="K173" s="24">
        <f t="shared" si="47"/>
        <v>153</v>
      </c>
      <c r="L173" s="24">
        <f t="shared" si="47"/>
        <v>145</v>
      </c>
      <c r="M173" s="24">
        <f>+M166+M167+M168+M169+M170+M171+M172</f>
        <v>140</v>
      </c>
      <c r="N173" s="24">
        <f>+N166+N167+N168+N169+N170+N171+N172</f>
        <v>135</v>
      </c>
      <c r="O173" s="24">
        <f>+O166+O167+O168+O169+O170+O171+O172</f>
        <v>145</v>
      </c>
    </row>
    <row r="174" spans="2:15" ht="14" customHeight="1" thickTop="1" thickBot="1" x14ac:dyDescent="0.2">
      <c r="B174" s="124" t="s">
        <v>2</v>
      </c>
      <c r="C174" s="297" t="str">
        <f>+'Calendrier 2021'!C27</f>
        <v>Vendredi</v>
      </c>
      <c r="D174" s="77">
        <f>+'Calendrier 2021'!D27</f>
        <v>44211</v>
      </c>
      <c r="E174" s="77" t="str">
        <f>+'Calendrier 2021'!E27</f>
        <v>19 fev 2021</v>
      </c>
      <c r="F174" s="77">
        <f>+'Calendrier 2021'!F27</f>
        <v>44274</v>
      </c>
      <c r="G174" s="77">
        <f>+'Calendrier 2021'!G27</f>
        <v>44302</v>
      </c>
      <c r="H174" s="77">
        <f>+'Calendrier 2021'!H27</f>
        <v>44330</v>
      </c>
      <c r="I174" s="77">
        <f>+'Calendrier 2021'!I27</f>
        <v>44365</v>
      </c>
      <c r="J174" s="77">
        <f>+'Calendrier 2021'!J27</f>
        <v>44393</v>
      </c>
      <c r="K174" s="77">
        <f>+'Calendrier 2021'!K27</f>
        <v>44421</v>
      </c>
      <c r="L174" s="77">
        <f>+'Calendrier 2021'!L27</f>
        <v>44456</v>
      </c>
      <c r="M174" s="77">
        <f>+'Calendrier 2021'!M27</f>
        <v>44484</v>
      </c>
      <c r="N174" s="77">
        <f>+'Calendrier 2021'!N27</f>
        <v>44519</v>
      </c>
      <c r="O174" s="78" t="str">
        <f>+'Calendrier 2021'!O27</f>
        <v>17 dec 2021</v>
      </c>
    </row>
    <row r="175" spans="2:15" ht="14" customHeight="1" thickTop="1" thickBot="1" x14ac:dyDescent="0.2">
      <c r="B175" s="18">
        <v>1</v>
      </c>
      <c r="C175" s="100" t="str">
        <f t="shared" ref="C175:C181" si="48">C166</f>
        <v>6 h à 9 h 30</v>
      </c>
      <c r="D175" s="12">
        <v>20</v>
      </c>
      <c r="E175" s="12">
        <v>20</v>
      </c>
      <c r="F175" s="12">
        <v>20</v>
      </c>
      <c r="G175" s="12">
        <v>20</v>
      </c>
      <c r="H175" s="12">
        <v>20</v>
      </c>
      <c r="I175" s="12">
        <v>20</v>
      </c>
      <c r="J175" s="12">
        <v>20</v>
      </c>
      <c r="K175" s="12">
        <v>20</v>
      </c>
      <c r="L175" s="12">
        <v>20</v>
      </c>
      <c r="M175" s="12">
        <v>20</v>
      </c>
      <c r="N175" s="12">
        <v>20</v>
      </c>
      <c r="O175" s="12">
        <v>20</v>
      </c>
    </row>
    <row r="176" spans="2:15" ht="14" customHeight="1" thickTop="1" thickBot="1" x14ac:dyDescent="0.2">
      <c r="B176" s="121">
        <v>2</v>
      </c>
      <c r="C176" s="102" t="str">
        <f t="shared" si="48"/>
        <v>9 h 30 à 11 h 30</v>
      </c>
      <c r="D176" s="310">
        <v>25</v>
      </c>
      <c r="E176" s="14">
        <v>9</v>
      </c>
      <c r="F176" s="22">
        <v>10</v>
      </c>
      <c r="G176" s="14">
        <v>14</v>
      </c>
      <c r="H176" s="14">
        <v>45</v>
      </c>
      <c r="I176" s="14">
        <v>15</v>
      </c>
      <c r="J176" s="14">
        <v>10</v>
      </c>
      <c r="K176" s="14">
        <v>28</v>
      </c>
      <c r="L176" s="14">
        <v>25</v>
      </c>
      <c r="M176" s="14">
        <v>24</v>
      </c>
      <c r="N176" s="14">
        <v>21</v>
      </c>
      <c r="O176" s="14">
        <v>25</v>
      </c>
    </row>
    <row r="177" spans="2:15" ht="14" customHeight="1" thickTop="1" thickBot="1" x14ac:dyDescent="0.2">
      <c r="B177" s="121">
        <v>3</v>
      </c>
      <c r="C177" s="102" t="str">
        <f t="shared" si="48"/>
        <v>11 h 30 à 14 h 30</v>
      </c>
      <c r="D177" s="22">
        <v>25</v>
      </c>
      <c r="E177" s="14">
        <v>50</v>
      </c>
      <c r="F177" s="22">
        <v>35</v>
      </c>
      <c r="G177" s="14">
        <v>41</v>
      </c>
      <c r="H177" s="14">
        <v>46</v>
      </c>
      <c r="I177" s="14">
        <v>45</v>
      </c>
      <c r="J177" s="14">
        <v>40</v>
      </c>
      <c r="K177" s="14">
        <v>28</v>
      </c>
      <c r="L177" s="14">
        <v>25</v>
      </c>
      <c r="M177" s="14">
        <v>24</v>
      </c>
      <c r="N177" s="14">
        <v>25</v>
      </c>
      <c r="O177" s="14">
        <v>25</v>
      </c>
    </row>
    <row r="178" spans="2:15" ht="14" customHeight="1" thickTop="1" thickBot="1" x14ac:dyDescent="0.2">
      <c r="B178" s="121">
        <v>4</v>
      </c>
      <c r="C178" s="102" t="str">
        <f t="shared" si="48"/>
        <v>14 h 30 à 17 h</v>
      </c>
      <c r="D178" s="22">
        <v>10</v>
      </c>
      <c r="E178" s="14">
        <v>9</v>
      </c>
      <c r="F178" s="22">
        <v>10</v>
      </c>
      <c r="G178" s="14">
        <v>11</v>
      </c>
      <c r="H178" s="14">
        <v>10</v>
      </c>
      <c r="I178" s="14">
        <v>15</v>
      </c>
      <c r="J178" s="14">
        <v>20</v>
      </c>
      <c r="K178" s="14">
        <v>28</v>
      </c>
      <c r="L178" s="14">
        <v>25</v>
      </c>
      <c r="M178" s="14">
        <v>24</v>
      </c>
      <c r="N178" s="14">
        <v>22</v>
      </c>
      <c r="O178" s="14">
        <v>25</v>
      </c>
    </row>
    <row r="179" spans="2:15" ht="14" customHeight="1" thickTop="1" thickBot="1" x14ac:dyDescent="0.2">
      <c r="B179" s="121">
        <v>5</v>
      </c>
      <c r="C179" s="102" t="str">
        <f t="shared" si="48"/>
        <v>17 h à 19 h</v>
      </c>
      <c r="D179" s="22">
        <v>25</v>
      </c>
      <c r="E179" s="14">
        <v>9</v>
      </c>
      <c r="F179" s="22">
        <v>35</v>
      </c>
      <c r="G179" s="14">
        <v>41</v>
      </c>
      <c r="H179" s="14">
        <v>11</v>
      </c>
      <c r="I179" s="14">
        <v>40</v>
      </c>
      <c r="J179" s="14">
        <v>16</v>
      </c>
      <c r="K179" s="14">
        <v>28</v>
      </c>
      <c r="L179" s="14">
        <v>25</v>
      </c>
      <c r="M179" s="14">
        <v>24</v>
      </c>
      <c r="N179" s="14">
        <v>25</v>
      </c>
      <c r="O179" s="14">
        <v>25</v>
      </c>
    </row>
    <row r="180" spans="2:15" ht="14" customHeight="1" thickTop="1" thickBot="1" x14ac:dyDescent="0.2">
      <c r="B180" s="121">
        <v>6</v>
      </c>
      <c r="C180" s="102" t="str">
        <f t="shared" si="48"/>
        <v>19 h à 23 h</v>
      </c>
      <c r="D180" s="22">
        <v>10</v>
      </c>
      <c r="E180" s="14">
        <v>29</v>
      </c>
      <c r="F180" s="22">
        <v>19</v>
      </c>
      <c r="G180" s="14">
        <v>11</v>
      </c>
      <c r="H180" s="14">
        <v>10</v>
      </c>
      <c r="I180" s="14">
        <v>15</v>
      </c>
      <c r="J180" s="14">
        <v>40</v>
      </c>
      <c r="K180" s="14">
        <v>21</v>
      </c>
      <c r="L180" s="14">
        <v>25</v>
      </c>
      <c r="M180" s="14">
        <v>24</v>
      </c>
      <c r="N180" s="14">
        <v>22</v>
      </c>
      <c r="O180" s="14">
        <v>25</v>
      </c>
    </row>
    <row r="181" spans="2:15" ht="14" customHeight="1" thickTop="1" thickBot="1" x14ac:dyDescent="0.2">
      <c r="B181" s="121">
        <v>7</v>
      </c>
      <c r="C181" s="102" t="str">
        <f t="shared" si="48"/>
        <v>23 h à 6 h</v>
      </c>
      <c r="D181" s="14">
        <v>0</v>
      </c>
      <c r="E181" s="14">
        <v>0</v>
      </c>
      <c r="F181" s="22">
        <v>0</v>
      </c>
      <c r="G181" s="14">
        <v>0</v>
      </c>
      <c r="H181" s="14">
        <v>0</v>
      </c>
      <c r="I181" s="14">
        <v>0</v>
      </c>
      <c r="J181" s="14">
        <v>0</v>
      </c>
      <c r="K181" s="14">
        <v>0</v>
      </c>
      <c r="L181" s="14">
        <v>0</v>
      </c>
      <c r="M181" s="14">
        <v>0</v>
      </c>
      <c r="N181" s="14">
        <v>0</v>
      </c>
      <c r="O181" s="14">
        <v>0</v>
      </c>
    </row>
    <row r="182" spans="2:15" ht="14" customHeight="1" thickTop="1" thickBot="1" x14ac:dyDescent="0.2">
      <c r="B182" s="19"/>
      <c r="C182" s="21" t="str">
        <f t="shared" ref="C182" si="49">+C173</f>
        <v>Total</v>
      </c>
      <c r="D182" s="24">
        <f t="shared" ref="D182:L182" si="50">+D175+D176+D177+D178+D179+D180+D181</f>
        <v>115</v>
      </c>
      <c r="E182" s="24">
        <f t="shared" si="50"/>
        <v>126</v>
      </c>
      <c r="F182" s="24">
        <f t="shared" si="50"/>
        <v>129</v>
      </c>
      <c r="G182" s="24">
        <f t="shared" si="50"/>
        <v>138</v>
      </c>
      <c r="H182" s="24">
        <f t="shared" si="50"/>
        <v>142</v>
      </c>
      <c r="I182" s="24">
        <f t="shared" si="50"/>
        <v>150</v>
      </c>
      <c r="J182" s="24">
        <f t="shared" si="50"/>
        <v>146</v>
      </c>
      <c r="K182" s="24">
        <f t="shared" si="50"/>
        <v>153</v>
      </c>
      <c r="L182" s="24">
        <f t="shared" si="50"/>
        <v>145</v>
      </c>
      <c r="M182" s="24">
        <f>+M175+M176+M177+M178+M179+M180+M181</f>
        <v>140</v>
      </c>
      <c r="N182" s="24">
        <f>+N175+N176+N177+N178+N179+N180+N181</f>
        <v>135</v>
      </c>
      <c r="O182" s="24">
        <f>+O175+O176+O177+O178+O179+O180+O181</f>
        <v>145</v>
      </c>
    </row>
    <row r="183" spans="2:15" ht="14" customHeight="1" thickTop="1" thickBot="1" x14ac:dyDescent="0.2">
      <c r="B183" s="124" t="s">
        <v>2</v>
      </c>
      <c r="C183" s="125" t="str">
        <f>+'Calendrier 2021'!C28</f>
        <v>Samedi</v>
      </c>
      <c r="D183" s="77">
        <f>+'Calendrier 2021'!D28</f>
        <v>44212</v>
      </c>
      <c r="E183" s="77" t="str">
        <f>+'Calendrier 2021'!E28</f>
        <v>20 fev 2021</v>
      </c>
      <c r="F183" s="77">
        <f>+'Calendrier 2021'!F28</f>
        <v>44275</v>
      </c>
      <c r="G183" s="77">
        <f>+'Calendrier 2021'!G28</f>
        <v>44303</v>
      </c>
      <c r="H183" s="77">
        <f>+'Calendrier 2021'!H28</f>
        <v>44331</v>
      </c>
      <c r="I183" s="77">
        <f>+'Calendrier 2021'!I28</f>
        <v>44366</v>
      </c>
      <c r="J183" s="77">
        <f>+'Calendrier 2021'!J28</f>
        <v>44394</v>
      </c>
      <c r="K183" s="77">
        <f>+'Calendrier 2021'!K28</f>
        <v>44422</v>
      </c>
      <c r="L183" s="77">
        <f>+'Calendrier 2021'!L28</f>
        <v>44457</v>
      </c>
      <c r="M183" s="77">
        <f>+'Calendrier 2021'!M28</f>
        <v>44485</v>
      </c>
      <c r="N183" s="77">
        <f>+'Calendrier 2021'!N28</f>
        <v>44520</v>
      </c>
      <c r="O183" s="78" t="str">
        <f>+'Calendrier 2021'!O28</f>
        <v>18 dec 2021</v>
      </c>
    </row>
    <row r="184" spans="2:15" ht="14" customHeight="1" thickTop="1" thickBot="1" x14ac:dyDescent="0.2">
      <c r="B184" s="18">
        <v>1</v>
      </c>
      <c r="C184" s="100" t="str">
        <f t="shared" ref="C184:C190" si="51">C175</f>
        <v>6 h à 9 h 30</v>
      </c>
      <c r="D184" s="12">
        <v>20</v>
      </c>
      <c r="E184" s="12">
        <v>20</v>
      </c>
      <c r="F184" s="12">
        <v>20</v>
      </c>
      <c r="G184" s="12">
        <v>20</v>
      </c>
      <c r="H184" s="12">
        <v>20</v>
      </c>
      <c r="I184" s="12">
        <v>20</v>
      </c>
      <c r="J184" s="12">
        <v>20</v>
      </c>
      <c r="K184" s="12">
        <v>20</v>
      </c>
      <c r="L184" s="12">
        <v>20</v>
      </c>
      <c r="M184" s="12">
        <v>20</v>
      </c>
      <c r="N184" s="12">
        <v>20</v>
      </c>
      <c r="O184" s="12">
        <v>20</v>
      </c>
    </row>
    <row r="185" spans="2:15" ht="14" customHeight="1" thickTop="1" thickBot="1" x14ac:dyDescent="0.2">
      <c r="B185" s="18">
        <v>2</v>
      </c>
      <c r="C185" s="102" t="str">
        <f t="shared" si="51"/>
        <v>9 h 30 à 11 h 30</v>
      </c>
      <c r="D185" s="310">
        <v>25</v>
      </c>
      <c r="E185" s="14">
        <v>9</v>
      </c>
      <c r="F185" s="22">
        <v>10</v>
      </c>
      <c r="G185" s="14">
        <v>14</v>
      </c>
      <c r="H185" s="14">
        <v>45</v>
      </c>
      <c r="I185" s="14">
        <v>15</v>
      </c>
      <c r="J185" s="14">
        <v>10</v>
      </c>
      <c r="K185" s="14">
        <v>28</v>
      </c>
      <c r="L185" s="14">
        <v>25</v>
      </c>
      <c r="M185" s="14">
        <v>24</v>
      </c>
      <c r="N185" s="14">
        <v>21</v>
      </c>
      <c r="O185" s="14">
        <v>25</v>
      </c>
    </row>
    <row r="186" spans="2:15" ht="14" customHeight="1" thickTop="1" thickBot="1" x14ac:dyDescent="0.2">
      <c r="B186" s="18">
        <v>3</v>
      </c>
      <c r="C186" s="102" t="str">
        <f t="shared" si="51"/>
        <v>11 h 30 à 14 h 30</v>
      </c>
      <c r="D186" s="22">
        <v>25</v>
      </c>
      <c r="E186" s="14">
        <v>50</v>
      </c>
      <c r="F186" s="22">
        <v>35</v>
      </c>
      <c r="G186" s="14">
        <v>41</v>
      </c>
      <c r="H186" s="14">
        <v>46</v>
      </c>
      <c r="I186" s="14">
        <v>45</v>
      </c>
      <c r="J186" s="14">
        <v>50</v>
      </c>
      <c r="K186" s="14">
        <v>28</v>
      </c>
      <c r="L186" s="14">
        <v>25</v>
      </c>
      <c r="M186" s="14">
        <v>24</v>
      </c>
      <c r="N186" s="14">
        <v>25</v>
      </c>
      <c r="O186" s="14">
        <v>25</v>
      </c>
    </row>
    <row r="187" spans="2:15" ht="14" customHeight="1" thickTop="1" thickBot="1" x14ac:dyDescent="0.2">
      <c r="B187" s="18">
        <v>4</v>
      </c>
      <c r="C187" s="102" t="str">
        <f t="shared" si="51"/>
        <v>14 h 30 à 17 h</v>
      </c>
      <c r="D187" s="22">
        <v>20</v>
      </c>
      <c r="E187" s="14">
        <v>29</v>
      </c>
      <c r="F187" s="22">
        <v>20</v>
      </c>
      <c r="G187" s="14">
        <v>21</v>
      </c>
      <c r="H187" s="14">
        <v>20</v>
      </c>
      <c r="I187" s="14">
        <v>25</v>
      </c>
      <c r="J187" s="14">
        <v>30</v>
      </c>
      <c r="K187" s="14">
        <v>38</v>
      </c>
      <c r="L187" s="14">
        <v>35</v>
      </c>
      <c r="M187" s="14">
        <v>34</v>
      </c>
      <c r="N187" s="14">
        <v>32</v>
      </c>
      <c r="O187" s="14">
        <v>35</v>
      </c>
    </row>
    <row r="188" spans="2:15" ht="14" customHeight="1" thickTop="1" thickBot="1" x14ac:dyDescent="0.2">
      <c r="B188" s="18">
        <v>5</v>
      </c>
      <c r="C188" s="102" t="str">
        <f t="shared" si="51"/>
        <v>17 h à 19 h</v>
      </c>
      <c r="D188" s="22">
        <v>25</v>
      </c>
      <c r="E188" s="14">
        <v>9</v>
      </c>
      <c r="F188" s="22">
        <v>35</v>
      </c>
      <c r="G188" s="14">
        <v>41</v>
      </c>
      <c r="H188" s="14">
        <v>11</v>
      </c>
      <c r="I188" s="14">
        <v>40</v>
      </c>
      <c r="J188" s="14">
        <v>16</v>
      </c>
      <c r="K188" s="14">
        <v>28</v>
      </c>
      <c r="L188" s="14">
        <v>25</v>
      </c>
      <c r="M188" s="14">
        <v>24</v>
      </c>
      <c r="N188" s="14">
        <v>25</v>
      </c>
      <c r="O188" s="14">
        <v>25</v>
      </c>
    </row>
    <row r="189" spans="2:15" ht="14" customHeight="1" thickTop="1" thickBot="1" x14ac:dyDescent="0.2">
      <c r="B189" s="18">
        <v>6</v>
      </c>
      <c r="C189" s="102" t="str">
        <f t="shared" si="51"/>
        <v>19 h à 23 h</v>
      </c>
      <c r="D189" s="22">
        <v>10</v>
      </c>
      <c r="E189" s="14">
        <v>29</v>
      </c>
      <c r="F189" s="22">
        <v>19</v>
      </c>
      <c r="G189" s="14">
        <v>11</v>
      </c>
      <c r="H189" s="14">
        <v>10</v>
      </c>
      <c r="I189" s="14">
        <v>15</v>
      </c>
      <c r="J189" s="14">
        <v>40</v>
      </c>
      <c r="K189" s="14">
        <v>21</v>
      </c>
      <c r="L189" s="14">
        <v>25</v>
      </c>
      <c r="M189" s="14">
        <v>24</v>
      </c>
      <c r="N189" s="14">
        <v>22</v>
      </c>
      <c r="O189" s="14">
        <v>25</v>
      </c>
    </row>
    <row r="190" spans="2:15" ht="14" customHeight="1" thickTop="1" thickBot="1" x14ac:dyDescent="0.2">
      <c r="B190" s="18">
        <v>7</v>
      </c>
      <c r="C190" s="102" t="str">
        <f t="shared" si="51"/>
        <v>23 h à 6 h</v>
      </c>
      <c r="D190" s="14">
        <v>0</v>
      </c>
      <c r="E190" s="14">
        <v>0</v>
      </c>
      <c r="F190" s="22">
        <v>0</v>
      </c>
      <c r="G190" s="14">
        <v>0</v>
      </c>
      <c r="H190" s="14">
        <v>0</v>
      </c>
      <c r="I190" s="14">
        <v>0</v>
      </c>
      <c r="J190" s="14">
        <v>0</v>
      </c>
      <c r="K190" s="14">
        <v>0</v>
      </c>
      <c r="L190" s="14">
        <v>0</v>
      </c>
      <c r="M190" s="14">
        <v>0</v>
      </c>
      <c r="N190" s="14">
        <v>0</v>
      </c>
      <c r="O190" s="14">
        <v>0</v>
      </c>
    </row>
    <row r="191" spans="2:15" ht="14" customHeight="1" thickTop="1" thickBot="1" x14ac:dyDescent="0.2">
      <c r="B191" s="19"/>
      <c r="C191" s="296" t="str">
        <f t="shared" ref="C191" si="52">+C182</f>
        <v>Total</v>
      </c>
      <c r="D191" s="24">
        <f t="shared" ref="D191:L191" si="53">+D184+D185+D186+D187+D188+D189+D190</f>
        <v>125</v>
      </c>
      <c r="E191" s="24">
        <f t="shared" si="53"/>
        <v>146</v>
      </c>
      <c r="F191" s="24">
        <f t="shared" si="53"/>
        <v>139</v>
      </c>
      <c r="G191" s="24">
        <f t="shared" si="53"/>
        <v>148</v>
      </c>
      <c r="H191" s="24">
        <f t="shared" si="53"/>
        <v>152</v>
      </c>
      <c r="I191" s="24">
        <f t="shared" si="53"/>
        <v>160</v>
      </c>
      <c r="J191" s="24">
        <f t="shared" si="53"/>
        <v>166</v>
      </c>
      <c r="K191" s="24">
        <f t="shared" si="53"/>
        <v>163</v>
      </c>
      <c r="L191" s="24">
        <f t="shared" si="53"/>
        <v>155</v>
      </c>
      <c r="M191" s="24">
        <f>+M184+M185+M186+M187+M188+M189+M190</f>
        <v>150</v>
      </c>
      <c r="N191" s="24">
        <f>+N184+N185+N186+N187+N188+N189+N190</f>
        <v>145</v>
      </c>
      <c r="O191" s="24">
        <f>+O184+O185+O186+O187+O188+O189+O190</f>
        <v>155</v>
      </c>
    </row>
    <row r="192" spans="2:15" ht="14" customHeight="1" thickTop="1" thickBot="1" x14ac:dyDescent="0.2">
      <c r="B192" s="124" t="s">
        <v>2</v>
      </c>
      <c r="C192" s="297" t="str">
        <f>+'Calendrier 2021'!C29</f>
        <v>Dimanche</v>
      </c>
      <c r="D192" s="77">
        <f>+'Calendrier 2021'!D29</f>
        <v>44213</v>
      </c>
      <c r="E192" s="77" t="str">
        <f>+'Calendrier 2021'!E29</f>
        <v>21 fev 2021</v>
      </c>
      <c r="F192" s="77">
        <f>+'Calendrier 2021'!F29</f>
        <v>44276</v>
      </c>
      <c r="G192" s="77">
        <f>+'Calendrier 2021'!G29</f>
        <v>44304</v>
      </c>
      <c r="H192" s="77">
        <f>+'Calendrier 2021'!H29</f>
        <v>44332</v>
      </c>
      <c r="I192" s="77">
        <f>+'Calendrier 2021'!I29</f>
        <v>44367</v>
      </c>
      <c r="J192" s="77">
        <f>+'Calendrier 2021'!J29</f>
        <v>44395</v>
      </c>
      <c r="K192" s="77">
        <f>+'Calendrier 2021'!K29</f>
        <v>44423</v>
      </c>
      <c r="L192" s="77">
        <f>+'Calendrier 2021'!L29</f>
        <v>44458</v>
      </c>
      <c r="M192" s="77">
        <f>+'Calendrier 2021'!M29</f>
        <v>44486</v>
      </c>
      <c r="N192" s="77">
        <f>+'Calendrier 2021'!N29</f>
        <v>44521</v>
      </c>
      <c r="O192" s="78" t="str">
        <f>+'Calendrier 2021'!O29</f>
        <v>19 dec 2021</v>
      </c>
    </row>
    <row r="193" spans="2:15" ht="14" customHeight="1" thickTop="1" thickBot="1" x14ac:dyDescent="0.2">
      <c r="B193" s="121">
        <v>1</v>
      </c>
      <c r="C193" s="100" t="str">
        <f t="shared" ref="C193:C199" si="54">C184</f>
        <v>6 h à 9 h 30</v>
      </c>
      <c r="D193" s="12">
        <v>20</v>
      </c>
      <c r="E193" s="12">
        <v>20</v>
      </c>
      <c r="F193" s="12">
        <v>20</v>
      </c>
      <c r="G193" s="12">
        <v>20</v>
      </c>
      <c r="H193" s="12">
        <v>20</v>
      </c>
      <c r="I193" s="12">
        <v>20</v>
      </c>
      <c r="J193" s="12">
        <v>20</v>
      </c>
      <c r="K193" s="12">
        <v>20</v>
      </c>
      <c r="L193" s="12">
        <v>20</v>
      </c>
      <c r="M193" s="12">
        <v>20</v>
      </c>
      <c r="N193" s="12">
        <v>20</v>
      </c>
      <c r="O193" s="12">
        <v>20</v>
      </c>
    </row>
    <row r="194" spans="2:15" ht="14" customHeight="1" thickTop="1" thickBot="1" x14ac:dyDescent="0.2">
      <c r="B194" s="18">
        <v>2</v>
      </c>
      <c r="C194" s="102" t="str">
        <f t="shared" si="54"/>
        <v>9 h 30 à 11 h 30</v>
      </c>
      <c r="D194" s="310">
        <v>25</v>
      </c>
      <c r="E194" s="14">
        <v>9</v>
      </c>
      <c r="F194" s="22">
        <v>10</v>
      </c>
      <c r="G194" s="14">
        <v>14</v>
      </c>
      <c r="H194" s="14">
        <v>45</v>
      </c>
      <c r="I194" s="14">
        <v>15</v>
      </c>
      <c r="J194" s="14">
        <v>10</v>
      </c>
      <c r="K194" s="14">
        <v>28</v>
      </c>
      <c r="L194" s="14">
        <v>25</v>
      </c>
      <c r="M194" s="14">
        <v>24</v>
      </c>
      <c r="N194" s="14">
        <v>21</v>
      </c>
      <c r="O194" s="14">
        <v>25</v>
      </c>
    </row>
    <row r="195" spans="2:15" ht="14" customHeight="1" thickTop="1" thickBot="1" x14ac:dyDescent="0.2">
      <c r="B195" s="18">
        <v>3</v>
      </c>
      <c r="C195" s="102" t="str">
        <f t="shared" si="54"/>
        <v>11 h 30 à 14 h 30</v>
      </c>
      <c r="D195" s="22">
        <v>25</v>
      </c>
      <c r="E195" s="14">
        <v>50</v>
      </c>
      <c r="F195" s="22">
        <v>35</v>
      </c>
      <c r="G195" s="14">
        <v>41</v>
      </c>
      <c r="H195" s="14">
        <v>46</v>
      </c>
      <c r="I195" s="14">
        <v>45</v>
      </c>
      <c r="J195" s="14">
        <v>40</v>
      </c>
      <c r="K195" s="14">
        <v>28</v>
      </c>
      <c r="L195" s="14">
        <v>25</v>
      </c>
      <c r="M195" s="14">
        <v>24</v>
      </c>
      <c r="N195" s="14">
        <v>25</v>
      </c>
      <c r="O195" s="14">
        <v>25</v>
      </c>
    </row>
    <row r="196" spans="2:15" ht="14" customHeight="1" thickTop="1" thickBot="1" x14ac:dyDescent="0.2">
      <c r="B196" s="18">
        <v>4</v>
      </c>
      <c r="C196" s="102" t="str">
        <f t="shared" si="54"/>
        <v>14 h 30 à 17 h</v>
      </c>
      <c r="D196" s="22">
        <v>10</v>
      </c>
      <c r="E196" s="14">
        <v>9</v>
      </c>
      <c r="F196" s="22">
        <v>10</v>
      </c>
      <c r="G196" s="14">
        <v>11</v>
      </c>
      <c r="H196" s="14">
        <v>10</v>
      </c>
      <c r="I196" s="14">
        <v>15</v>
      </c>
      <c r="J196" s="14">
        <v>20</v>
      </c>
      <c r="K196" s="14">
        <v>28</v>
      </c>
      <c r="L196" s="14">
        <v>25</v>
      </c>
      <c r="M196" s="14">
        <v>24</v>
      </c>
      <c r="N196" s="14">
        <v>22</v>
      </c>
      <c r="O196" s="14">
        <v>25</v>
      </c>
    </row>
    <row r="197" spans="2:15" ht="14" customHeight="1" thickTop="1" thickBot="1" x14ac:dyDescent="0.2">
      <c r="B197" s="18">
        <v>5</v>
      </c>
      <c r="C197" s="102" t="str">
        <f t="shared" si="54"/>
        <v>17 h à 19 h</v>
      </c>
      <c r="D197" s="22">
        <v>25</v>
      </c>
      <c r="E197" s="14">
        <v>9</v>
      </c>
      <c r="F197" s="22">
        <v>35</v>
      </c>
      <c r="G197" s="14">
        <v>41</v>
      </c>
      <c r="H197" s="14">
        <v>11</v>
      </c>
      <c r="I197" s="14">
        <v>40</v>
      </c>
      <c r="J197" s="14">
        <v>16</v>
      </c>
      <c r="K197" s="14">
        <v>28</v>
      </c>
      <c r="L197" s="14">
        <v>25</v>
      </c>
      <c r="M197" s="14">
        <v>24</v>
      </c>
      <c r="N197" s="14">
        <v>25</v>
      </c>
      <c r="O197" s="14">
        <v>25</v>
      </c>
    </row>
    <row r="198" spans="2:15" ht="14" customHeight="1" thickTop="1" thickBot="1" x14ac:dyDescent="0.2">
      <c r="B198" s="18">
        <v>6</v>
      </c>
      <c r="C198" s="102" t="str">
        <f t="shared" si="54"/>
        <v>19 h à 23 h</v>
      </c>
      <c r="D198" s="22">
        <v>10</v>
      </c>
      <c r="E198" s="14">
        <v>29</v>
      </c>
      <c r="F198" s="22">
        <v>19</v>
      </c>
      <c r="G198" s="14">
        <v>11</v>
      </c>
      <c r="H198" s="14">
        <v>10</v>
      </c>
      <c r="I198" s="14">
        <v>15</v>
      </c>
      <c r="J198" s="14">
        <v>40</v>
      </c>
      <c r="K198" s="14">
        <v>21</v>
      </c>
      <c r="L198" s="14">
        <v>25</v>
      </c>
      <c r="M198" s="14">
        <v>24</v>
      </c>
      <c r="N198" s="14">
        <v>22</v>
      </c>
      <c r="O198" s="14">
        <v>25</v>
      </c>
    </row>
    <row r="199" spans="2:15" ht="14" customHeight="1" thickTop="1" thickBot="1" x14ac:dyDescent="0.2">
      <c r="B199" s="18">
        <v>7</v>
      </c>
      <c r="C199" s="102" t="str">
        <f t="shared" si="54"/>
        <v>23 h à 6 h</v>
      </c>
      <c r="D199" s="14">
        <v>0</v>
      </c>
      <c r="E199" s="14">
        <v>0</v>
      </c>
      <c r="F199" s="22">
        <v>0</v>
      </c>
      <c r="G199" s="14">
        <v>0</v>
      </c>
      <c r="H199" s="14">
        <v>0</v>
      </c>
      <c r="I199" s="14">
        <v>0</v>
      </c>
      <c r="J199" s="14">
        <v>0</v>
      </c>
      <c r="K199" s="14">
        <v>0</v>
      </c>
      <c r="L199" s="14">
        <v>0</v>
      </c>
      <c r="M199" s="14">
        <v>0</v>
      </c>
      <c r="N199" s="14">
        <v>0</v>
      </c>
      <c r="O199" s="14">
        <v>0</v>
      </c>
    </row>
    <row r="200" spans="2:15" ht="14" customHeight="1" thickTop="1" thickBot="1" x14ac:dyDescent="0.2">
      <c r="B200" s="18"/>
      <c r="C200" s="16" t="str">
        <f t="shared" ref="C200" si="55">+C191</f>
        <v>Total</v>
      </c>
      <c r="D200" s="24">
        <f t="shared" ref="D200:L200" si="56">+D193+D194+D195+D196+D197+D198+D199</f>
        <v>115</v>
      </c>
      <c r="E200" s="24">
        <f t="shared" si="56"/>
        <v>126</v>
      </c>
      <c r="F200" s="24">
        <f t="shared" si="56"/>
        <v>129</v>
      </c>
      <c r="G200" s="24">
        <f t="shared" si="56"/>
        <v>138</v>
      </c>
      <c r="H200" s="24">
        <f t="shared" si="56"/>
        <v>142</v>
      </c>
      <c r="I200" s="24">
        <f t="shared" si="56"/>
        <v>150</v>
      </c>
      <c r="J200" s="24">
        <f t="shared" si="56"/>
        <v>146</v>
      </c>
      <c r="K200" s="24">
        <f t="shared" si="56"/>
        <v>153</v>
      </c>
      <c r="L200" s="24">
        <f t="shared" si="56"/>
        <v>145</v>
      </c>
      <c r="M200" s="24">
        <f>+M193+M194+M195+M196+M197+M198+M199</f>
        <v>140</v>
      </c>
      <c r="N200" s="24">
        <f>+N193+N194+N195+N196+N197+N198+N199</f>
        <v>135</v>
      </c>
      <c r="O200" s="24">
        <f>+O193+O194+O195+O196+O197+O198+O199</f>
        <v>145</v>
      </c>
    </row>
    <row r="201" spans="2:15" ht="14" customHeight="1" thickTop="1" thickBot="1" x14ac:dyDescent="0.2">
      <c r="B201" s="1262" t="s">
        <v>19</v>
      </c>
      <c r="C201" s="1263"/>
      <c r="D201" s="1263"/>
      <c r="E201" s="1263"/>
      <c r="F201" s="1263"/>
      <c r="G201" s="1263"/>
      <c r="H201" s="1263"/>
      <c r="I201" s="1263"/>
      <c r="J201" s="1263"/>
      <c r="K201" s="1263"/>
      <c r="L201" s="1263"/>
      <c r="M201" s="1263"/>
      <c r="N201" s="1263"/>
      <c r="O201" s="1264"/>
    </row>
    <row r="202" spans="2:15" ht="14" customHeight="1" thickTop="1" thickBot="1" x14ac:dyDescent="0.2">
      <c r="B202" s="128">
        <f>+'Calendrier 2021'!B30</f>
        <v>4</v>
      </c>
      <c r="C202" s="129" t="str">
        <f>+'Calendrier 2021'!C30</f>
        <v>Lundi</v>
      </c>
      <c r="D202" s="130">
        <f>+'Calendrier 2021'!D30</f>
        <v>44214</v>
      </c>
      <c r="E202" s="130" t="str">
        <f>+'Calendrier 2021'!E30</f>
        <v>22 fev 2021</v>
      </c>
      <c r="F202" s="130">
        <f>+'Calendrier 2021'!F30</f>
        <v>44277</v>
      </c>
      <c r="G202" s="130">
        <f>+'Calendrier 2021'!G30</f>
        <v>44305</v>
      </c>
      <c r="H202" s="130">
        <f>+'Calendrier 2021'!H30</f>
        <v>44333</v>
      </c>
      <c r="I202" s="130">
        <f>+'Calendrier 2021'!I30</f>
        <v>44368</v>
      </c>
      <c r="J202" s="130">
        <f>+'Calendrier 2021'!J30</f>
        <v>44396</v>
      </c>
      <c r="K202" s="130">
        <f>+'Calendrier 2021'!K30</f>
        <v>44424</v>
      </c>
      <c r="L202" s="130">
        <f>+'Calendrier 2021'!M32</f>
        <v>44489</v>
      </c>
      <c r="M202" s="130">
        <f>+'Calendrier 2021'!M30</f>
        <v>44487</v>
      </c>
      <c r="N202" s="130">
        <f>+'Calendrier 2021'!N30</f>
        <v>44522</v>
      </c>
      <c r="O202" s="131" t="str">
        <f>+'Calendrier 2021'!O30</f>
        <v>20 dec 2021</v>
      </c>
    </row>
    <row r="203" spans="2:15" ht="14" customHeight="1" thickTop="1" x14ac:dyDescent="0.15">
      <c r="B203" s="11">
        <v>1</v>
      </c>
      <c r="C203" s="100" t="str">
        <f t="shared" ref="C203:C209" si="57">C193</f>
        <v>6 h à 9 h 30</v>
      </c>
      <c r="D203" s="12">
        <v>20</v>
      </c>
      <c r="E203" s="12">
        <v>20</v>
      </c>
      <c r="F203" s="12">
        <v>20</v>
      </c>
      <c r="G203" s="12">
        <v>20</v>
      </c>
      <c r="H203" s="12">
        <v>20</v>
      </c>
      <c r="I203" s="12">
        <v>20</v>
      </c>
      <c r="J203" s="12">
        <v>20</v>
      </c>
      <c r="K203" s="12">
        <v>20</v>
      </c>
      <c r="L203" s="12">
        <v>20</v>
      </c>
      <c r="M203" s="12">
        <v>20</v>
      </c>
      <c r="N203" s="12">
        <v>20</v>
      </c>
      <c r="O203" s="12">
        <v>20</v>
      </c>
    </row>
    <row r="204" spans="2:15" ht="14" customHeight="1" x14ac:dyDescent="0.15">
      <c r="B204" s="13">
        <v>2</v>
      </c>
      <c r="C204" s="102" t="str">
        <f t="shared" si="57"/>
        <v>9 h 30 à 11 h 30</v>
      </c>
      <c r="D204" s="310">
        <v>25</v>
      </c>
      <c r="E204" s="14">
        <v>9</v>
      </c>
      <c r="F204" s="22">
        <v>10</v>
      </c>
      <c r="G204" s="14">
        <v>14</v>
      </c>
      <c r="H204" s="14">
        <v>45</v>
      </c>
      <c r="I204" s="14">
        <v>15</v>
      </c>
      <c r="J204" s="14">
        <v>10</v>
      </c>
      <c r="K204" s="14">
        <v>28</v>
      </c>
      <c r="L204" s="14">
        <v>25</v>
      </c>
      <c r="M204" s="14">
        <v>24</v>
      </c>
      <c r="N204" s="14">
        <v>21</v>
      </c>
      <c r="O204" s="14">
        <v>25</v>
      </c>
    </row>
    <row r="205" spans="2:15" ht="14" customHeight="1" x14ac:dyDescent="0.15">
      <c r="B205" s="13">
        <v>3</v>
      </c>
      <c r="C205" s="102" t="str">
        <f t="shared" si="57"/>
        <v>11 h 30 à 14 h 30</v>
      </c>
      <c r="D205" s="22">
        <v>25</v>
      </c>
      <c r="E205" s="14">
        <v>50</v>
      </c>
      <c r="F205" s="22">
        <v>35</v>
      </c>
      <c r="G205" s="14">
        <v>41</v>
      </c>
      <c r="H205" s="14">
        <v>46</v>
      </c>
      <c r="I205" s="14">
        <v>45</v>
      </c>
      <c r="J205" s="14">
        <v>40</v>
      </c>
      <c r="K205" s="14">
        <v>28</v>
      </c>
      <c r="L205" s="14">
        <v>25</v>
      </c>
      <c r="M205" s="14">
        <v>24</v>
      </c>
      <c r="N205" s="14">
        <v>25</v>
      </c>
      <c r="O205" s="14">
        <v>25</v>
      </c>
    </row>
    <row r="206" spans="2:15" ht="14" customHeight="1" x14ac:dyDescent="0.15">
      <c r="B206" s="13">
        <v>4</v>
      </c>
      <c r="C206" s="102" t="str">
        <f t="shared" si="57"/>
        <v>14 h 30 à 17 h</v>
      </c>
      <c r="D206" s="22">
        <v>10</v>
      </c>
      <c r="E206" s="14">
        <v>9</v>
      </c>
      <c r="F206" s="22">
        <v>10</v>
      </c>
      <c r="G206" s="14">
        <v>11</v>
      </c>
      <c r="H206" s="14">
        <v>10</v>
      </c>
      <c r="I206" s="14">
        <v>15</v>
      </c>
      <c r="J206" s="14">
        <v>20</v>
      </c>
      <c r="K206" s="14">
        <v>28</v>
      </c>
      <c r="L206" s="14">
        <v>25</v>
      </c>
      <c r="M206" s="14">
        <v>24</v>
      </c>
      <c r="N206" s="14">
        <v>22</v>
      </c>
      <c r="O206" s="14">
        <v>25</v>
      </c>
    </row>
    <row r="207" spans="2:15" ht="14" customHeight="1" x14ac:dyDescent="0.15">
      <c r="B207" s="13">
        <v>5</v>
      </c>
      <c r="C207" s="102" t="str">
        <f t="shared" si="57"/>
        <v>17 h à 19 h</v>
      </c>
      <c r="D207" s="22">
        <v>25</v>
      </c>
      <c r="E207" s="14">
        <v>9</v>
      </c>
      <c r="F207" s="22">
        <v>35</v>
      </c>
      <c r="G207" s="14">
        <v>41</v>
      </c>
      <c r="H207" s="14">
        <v>11</v>
      </c>
      <c r="I207" s="14">
        <v>40</v>
      </c>
      <c r="J207" s="14">
        <v>16</v>
      </c>
      <c r="K207" s="14">
        <v>28</v>
      </c>
      <c r="L207" s="14">
        <v>25</v>
      </c>
      <c r="M207" s="14">
        <v>24</v>
      </c>
      <c r="N207" s="14">
        <v>25</v>
      </c>
      <c r="O207" s="14">
        <v>25</v>
      </c>
    </row>
    <row r="208" spans="2:15" ht="14" customHeight="1" x14ac:dyDescent="0.15">
      <c r="B208" s="13">
        <v>6</v>
      </c>
      <c r="C208" s="102" t="str">
        <f t="shared" si="57"/>
        <v>19 h à 23 h</v>
      </c>
      <c r="D208" s="22">
        <v>10</v>
      </c>
      <c r="E208" s="14">
        <v>29</v>
      </c>
      <c r="F208" s="22">
        <v>19</v>
      </c>
      <c r="G208" s="14">
        <v>11</v>
      </c>
      <c r="H208" s="14">
        <v>10</v>
      </c>
      <c r="I208" s="14">
        <v>15</v>
      </c>
      <c r="J208" s="14">
        <v>40</v>
      </c>
      <c r="K208" s="14">
        <v>21</v>
      </c>
      <c r="L208" s="14">
        <v>25</v>
      </c>
      <c r="M208" s="14">
        <v>24</v>
      </c>
      <c r="N208" s="14">
        <v>22</v>
      </c>
      <c r="O208" s="14">
        <v>25</v>
      </c>
    </row>
    <row r="209" spans="2:15" ht="14" customHeight="1" x14ac:dyDescent="0.15">
      <c r="B209" s="13">
        <v>7</v>
      </c>
      <c r="C209" s="102" t="str">
        <f t="shared" si="57"/>
        <v>23 h à 6 h</v>
      </c>
      <c r="D209" s="14">
        <v>0</v>
      </c>
      <c r="E209" s="14">
        <v>0</v>
      </c>
      <c r="F209" s="22">
        <v>0</v>
      </c>
      <c r="G209" s="14">
        <v>0</v>
      </c>
      <c r="H209" s="14">
        <v>0</v>
      </c>
      <c r="I209" s="14">
        <v>0</v>
      </c>
      <c r="J209" s="14">
        <v>0</v>
      </c>
      <c r="K209" s="14">
        <v>0</v>
      </c>
      <c r="L209" s="14">
        <v>0</v>
      </c>
      <c r="M209" s="14">
        <v>0</v>
      </c>
      <c r="N209" s="14">
        <v>0</v>
      </c>
      <c r="O209" s="14">
        <v>0</v>
      </c>
    </row>
    <row r="210" spans="2:15" ht="14" customHeight="1" thickBot="1" x14ac:dyDescent="0.2">
      <c r="B210" s="15"/>
      <c r="C210" s="299" t="str">
        <f>+C200</f>
        <v>Total</v>
      </c>
      <c r="D210" s="24">
        <f t="shared" ref="D210:L210" si="58">+D203+D204+D205+D206+D207+D208+D209</f>
        <v>115</v>
      </c>
      <c r="E210" s="24">
        <f t="shared" si="58"/>
        <v>126</v>
      </c>
      <c r="F210" s="24">
        <f t="shared" si="58"/>
        <v>129</v>
      </c>
      <c r="G210" s="24">
        <f t="shared" si="58"/>
        <v>138</v>
      </c>
      <c r="H210" s="24">
        <f t="shared" si="58"/>
        <v>142</v>
      </c>
      <c r="I210" s="24">
        <f t="shared" si="58"/>
        <v>150</v>
      </c>
      <c r="J210" s="24">
        <f t="shared" si="58"/>
        <v>146</v>
      </c>
      <c r="K210" s="24">
        <f t="shared" si="58"/>
        <v>153</v>
      </c>
      <c r="L210" s="24">
        <f t="shared" si="58"/>
        <v>145</v>
      </c>
      <c r="M210" s="24">
        <f>+M203+M204+M205+M206+M207+M208+M209</f>
        <v>140</v>
      </c>
      <c r="N210" s="24">
        <f>+N203+N204+N205+N206+N207+N208+N209</f>
        <v>135</v>
      </c>
      <c r="O210" s="24">
        <f>+O203+O204+O205+O206+O207+O208+O209</f>
        <v>145</v>
      </c>
    </row>
    <row r="211" spans="2:15" ht="14" customHeight="1" thickTop="1" thickBot="1" x14ac:dyDescent="0.2">
      <c r="B211" s="124" t="s">
        <v>2</v>
      </c>
      <c r="C211" s="297" t="str">
        <f>+'Calendrier 2021'!C31</f>
        <v>Mardi</v>
      </c>
      <c r="D211" s="77">
        <f>+'Calendrier 2021'!D31</f>
        <v>44215</v>
      </c>
      <c r="E211" s="77" t="str">
        <f>+'Calendrier 2021'!E31</f>
        <v>23 fev 2021</v>
      </c>
      <c r="F211" s="77">
        <f>+'Calendrier 2021'!F31</f>
        <v>44278</v>
      </c>
      <c r="G211" s="77">
        <f>+'Calendrier 2021'!G31</f>
        <v>44306</v>
      </c>
      <c r="H211" s="77">
        <f>+'Calendrier 2021'!H31</f>
        <v>44334</v>
      </c>
      <c r="I211" s="77">
        <f>+'Calendrier 2021'!I31</f>
        <v>44369</v>
      </c>
      <c r="J211" s="77">
        <f>+'Calendrier 2021'!J31</f>
        <v>44397</v>
      </c>
      <c r="K211" s="77">
        <f>+'Calendrier 2021'!K31</f>
        <v>44425</v>
      </c>
      <c r="L211" s="77">
        <f>+'Calendrier 2021'!L31</f>
        <v>44460</v>
      </c>
      <c r="M211" s="77">
        <f>+'Calendrier 2021'!M31</f>
        <v>44488</v>
      </c>
      <c r="N211" s="77">
        <f>+'Calendrier 2021'!N31</f>
        <v>44523</v>
      </c>
      <c r="O211" s="78" t="str">
        <f>+'Calendrier 2021'!O31</f>
        <v>21 dec 2021</v>
      </c>
    </row>
    <row r="212" spans="2:15" ht="14" customHeight="1" thickTop="1" thickBot="1" x14ac:dyDescent="0.2">
      <c r="B212" s="18">
        <v>1</v>
      </c>
      <c r="C212" s="100" t="str">
        <f t="shared" ref="C212:C218" si="59">C203</f>
        <v>6 h à 9 h 30</v>
      </c>
      <c r="D212" s="12">
        <v>20</v>
      </c>
      <c r="E212" s="12">
        <v>20</v>
      </c>
      <c r="F212" s="12">
        <v>20</v>
      </c>
      <c r="G212" s="12">
        <v>20</v>
      </c>
      <c r="H212" s="12">
        <v>20</v>
      </c>
      <c r="I212" s="12">
        <v>20</v>
      </c>
      <c r="J212" s="12">
        <v>20</v>
      </c>
      <c r="K212" s="12">
        <v>20</v>
      </c>
      <c r="L212" s="12">
        <v>20</v>
      </c>
      <c r="M212" s="12">
        <v>20</v>
      </c>
      <c r="N212" s="12">
        <v>20</v>
      </c>
      <c r="O212" s="12">
        <v>20</v>
      </c>
    </row>
    <row r="213" spans="2:15" ht="14" customHeight="1" thickTop="1" thickBot="1" x14ac:dyDescent="0.2">
      <c r="B213" s="121">
        <v>2</v>
      </c>
      <c r="C213" s="102" t="str">
        <f t="shared" si="59"/>
        <v>9 h 30 à 11 h 30</v>
      </c>
      <c r="D213" s="310">
        <v>25</v>
      </c>
      <c r="E213" s="14">
        <v>9</v>
      </c>
      <c r="F213" s="22">
        <v>10</v>
      </c>
      <c r="G213" s="14">
        <v>14</v>
      </c>
      <c r="H213" s="14">
        <v>45</v>
      </c>
      <c r="I213" s="14">
        <v>15</v>
      </c>
      <c r="J213" s="14">
        <v>10</v>
      </c>
      <c r="K213" s="14">
        <v>28</v>
      </c>
      <c r="L213" s="14">
        <v>25</v>
      </c>
      <c r="M213" s="14">
        <v>24</v>
      </c>
      <c r="N213" s="14">
        <v>21</v>
      </c>
      <c r="O213" s="14">
        <v>25</v>
      </c>
    </row>
    <row r="214" spans="2:15" ht="14" customHeight="1" thickTop="1" thickBot="1" x14ac:dyDescent="0.2">
      <c r="B214" s="121">
        <v>3</v>
      </c>
      <c r="C214" s="102" t="str">
        <f t="shared" si="59"/>
        <v>11 h 30 à 14 h 30</v>
      </c>
      <c r="D214" s="22">
        <v>25</v>
      </c>
      <c r="E214" s="14">
        <v>50</v>
      </c>
      <c r="F214" s="22">
        <v>35</v>
      </c>
      <c r="G214" s="14">
        <v>41</v>
      </c>
      <c r="H214" s="14">
        <v>46</v>
      </c>
      <c r="I214" s="14">
        <v>45</v>
      </c>
      <c r="J214" s="14">
        <v>40</v>
      </c>
      <c r="K214" s="14">
        <v>28</v>
      </c>
      <c r="L214" s="14">
        <v>25</v>
      </c>
      <c r="M214" s="14">
        <v>24</v>
      </c>
      <c r="N214" s="14">
        <v>25</v>
      </c>
      <c r="O214" s="14">
        <v>25</v>
      </c>
    </row>
    <row r="215" spans="2:15" ht="14" customHeight="1" thickTop="1" thickBot="1" x14ac:dyDescent="0.2">
      <c r="B215" s="121">
        <v>4</v>
      </c>
      <c r="C215" s="102" t="str">
        <f t="shared" si="59"/>
        <v>14 h 30 à 17 h</v>
      </c>
      <c r="D215" s="22">
        <v>20</v>
      </c>
      <c r="E215" s="14">
        <v>29</v>
      </c>
      <c r="F215" s="22">
        <v>30</v>
      </c>
      <c r="G215" s="14">
        <v>21</v>
      </c>
      <c r="H215" s="14">
        <v>20</v>
      </c>
      <c r="I215" s="14">
        <v>25</v>
      </c>
      <c r="J215" s="14">
        <v>30</v>
      </c>
      <c r="K215" s="14">
        <v>38</v>
      </c>
      <c r="L215" s="14">
        <v>35</v>
      </c>
      <c r="M215" s="14">
        <v>34</v>
      </c>
      <c r="N215" s="14">
        <v>32</v>
      </c>
      <c r="O215" s="14">
        <v>35</v>
      </c>
    </row>
    <row r="216" spans="2:15" ht="14" customHeight="1" thickTop="1" thickBot="1" x14ac:dyDescent="0.2">
      <c r="B216" s="121">
        <v>5</v>
      </c>
      <c r="C216" s="102" t="str">
        <f t="shared" si="59"/>
        <v>17 h à 19 h</v>
      </c>
      <c r="D216" s="22">
        <v>25</v>
      </c>
      <c r="E216" s="14">
        <v>9</v>
      </c>
      <c r="F216" s="22">
        <v>35</v>
      </c>
      <c r="G216" s="14">
        <v>41</v>
      </c>
      <c r="H216" s="14">
        <v>11</v>
      </c>
      <c r="I216" s="14">
        <v>40</v>
      </c>
      <c r="J216" s="14">
        <v>16</v>
      </c>
      <c r="K216" s="14">
        <v>28</v>
      </c>
      <c r="L216" s="14">
        <v>25</v>
      </c>
      <c r="M216" s="14">
        <v>24</v>
      </c>
      <c r="N216" s="14">
        <v>25</v>
      </c>
      <c r="O216" s="14">
        <v>25</v>
      </c>
    </row>
    <row r="217" spans="2:15" ht="14" customHeight="1" thickTop="1" thickBot="1" x14ac:dyDescent="0.2">
      <c r="B217" s="121">
        <v>6</v>
      </c>
      <c r="C217" s="102" t="str">
        <f t="shared" si="59"/>
        <v>19 h à 23 h</v>
      </c>
      <c r="D217" s="22">
        <v>10</v>
      </c>
      <c r="E217" s="14">
        <v>29</v>
      </c>
      <c r="F217" s="22">
        <v>19</v>
      </c>
      <c r="G217" s="14">
        <v>11</v>
      </c>
      <c r="H217" s="14">
        <v>10</v>
      </c>
      <c r="I217" s="14">
        <v>15</v>
      </c>
      <c r="J217" s="14">
        <v>40</v>
      </c>
      <c r="K217" s="14">
        <v>21</v>
      </c>
      <c r="L217" s="14">
        <v>25</v>
      </c>
      <c r="M217" s="14">
        <v>24</v>
      </c>
      <c r="N217" s="14">
        <v>22</v>
      </c>
      <c r="O217" s="14">
        <v>25</v>
      </c>
    </row>
    <row r="218" spans="2:15" ht="14" customHeight="1" thickTop="1" thickBot="1" x14ac:dyDescent="0.2">
      <c r="B218" s="121">
        <v>7</v>
      </c>
      <c r="C218" s="102" t="str">
        <f t="shared" si="59"/>
        <v>23 h à 6 h</v>
      </c>
      <c r="D218" s="14">
        <v>0</v>
      </c>
      <c r="E218" s="14">
        <v>0</v>
      </c>
      <c r="F218" s="22">
        <v>0</v>
      </c>
      <c r="G218" s="14">
        <v>0</v>
      </c>
      <c r="H218" s="14">
        <v>0</v>
      </c>
      <c r="I218" s="14">
        <v>0</v>
      </c>
      <c r="J218" s="14">
        <v>0</v>
      </c>
      <c r="K218" s="14">
        <v>0</v>
      </c>
      <c r="L218" s="14">
        <v>0</v>
      </c>
      <c r="M218" s="14">
        <v>0</v>
      </c>
      <c r="N218" s="14">
        <v>0</v>
      </c>
      <c r="O218" s="14">
        <v>0</v>
      </c>
    </row>
    <row r="219" spans="2:15" ht="14" customHeight="1" thickTop="1" thickBot="1" x14ac:dyDescent="0.2">
      <c r="B219" s="19"/>
      <c r="C219" s="21" t="str">
        <f t="shared" ref="C219" si="60">+C210</f>
        <v>Total</v>
      </c>
      <c r="D219" s="24">
        <f t="shared" ref="D219:L219" si="61">+D212+D213+D214+D215+D216+D217+D218</f>
        <v>125</v>
      </c>
      <c r="E219" s="24">
        <f t="shared" si="61"/>
        <v>146</v>
      </c>
      <c r="F219" s="24">
        <f t="shared" si="61"/>
        <v>149</v>
      </c>
      <c r="G219" s="24">
        <f t="shared" si="61"/>
        <v>148</v>
      </c>
      <c r="H219" s="24">
        <f t="shared" si="61"/>
        <v>152</v>
      </c>
      <c r="I219" s="24">
        <f t="shared" si="61"/>
        <v>160</v>
      </c>
      <c r="J219" s="24">
        <f t="shared" si="61"/>
        <v>156</v>
      </c>
      <c r="K219" s="24">
        <f t="shared" si="61"/>
        <v>163</v>
      </c>
      <c r="L219" s="24">
        <f t="shared" si="61"/>
        <v>155</v>
      </c>
      <c r="M219" s="24">
        <f>+M212+M213+M214+M215+M216+M217+M218</f>
        <v>150</v>
      </c>
      <c r="N219" s="24">
        <f>+N212+N213+N214+N215+N216+N217+N218</f>
        <v>145</v>
      </c>
      <c r="O219" s="24">
        <f>+O212+O213+O214+O215+O216+O217+O218</f>
        <v>155</v>
      </c>
    </row>
    <row r="220" spans="2:15" ht="14" customHeight="1" thickTop="1" thickBot="1" x14ac:dyDescent="0.2">
      <c r="B220" s="124" t="s">
        <v>2</v>
      </c>
      <c r="C220" s="125" t="str">
        <f>+'Calendrier 2021'!C32</f>
        <v>Mercredi</v>
      </c>
      <c r="D220" s="77">
        <f>+'Calendrier 2021'!D32</f>
        <v>44216</v>
      </c>
      <c r="E220" s="77" t="str">
        <f>+'Calendrier 2021'!E32</f>
        <v>24 fev 2021</v>
      </c>
      <c r="F220" s="77">
        <f>+'Calendrier 2021'!F32</f>
        <v>44279</v>
      </c>
      <c r="G220" s="77">
        <f>+'Calendrier 2021'!G32</f>
        <v>44307</v>
      </c>
      <c r="H220" s="77">
        <f>+'Calendrier 2021'!H32</f>
        <v>44335</v>
      </c>
      <c r="I220" s="77">
        <f>+'Calendrier 2021'!I32</f>
        <v>44370</v>
      </c>
      <c r="J220" s="77">
        <f>+'Calendrier 2021'!J32</f>
        <v>44398</v>
      </c>
      <c r="K220" s="77">
        <f>+'Calendrier 2021'!K32</f>
        <v>44426</v>
      </c>
      <c r="L220" s="77">
        <f>+'Calendrier 2021'!L32</f>
        <v>44461</v>
      </c>
      <c r="M220" s="77">
        <f>+'Calendrier 2021'!M32</f>
        <v>44489</v>
      </c>
      <c r="N220" s="77">
        <f>+'Calendrier 2021'!N32</f>
        <v>44524</v>
      </c>
      <c r="O220" s="78" t="str">
        <f>+'Calendrier 2021'!O32</f>
        <v>22 dec 2021</v>
      </c>
    </row>
    <row r="221" spans="2:15" ht="14" customHeight="1" thickTop="1" thickBot="1" x14ac:dyDescent="0.2">
      <c r="B221" s="18">
        <v>1</v>
      </c>
      <c r="C221" s="100" t="str">
        <f t="shared" ref="C221:C227" si="62">C212</f>
        <v>6 h à 9 h 30</v>
      </c>
      <c r="D221" s="12">
        <v>20</v>
      </c>
      <c r="E221" s="12">
        <v>20</v>
      </c>
      <c r="F221" s="12">
        <v>20</v>
      </c>
      <c r="G221" s="12">
        <v>20</v>
      </c>
      <c r="H221" s="12">
        <v>20</v>
      </c>
      <c r="I221" s="12">
        <v>20</v>
      </c>
      <c r="J221" s="12">
        <v>20</v>
      </c>
      <c r="K221" s="12">
        <v>20</v>
      </c>
      <c r="L221" s="12">
        <v>20</v>
      </c>
      <c r="M221" s="12">
        <v>20</v>
      </c>
      <c r="N221" s="12">
        <v>20</v>
      </c>
      <c r="O221" s="12">
        <v>20</v>
      </c>
    </row>
    <row r="222" spans="2:15" ht="14" customHeight="1" thickTop="1" thickBot="1" x14ac:dyDescent="0.2">
      <c r="B222" s="121">
        <v>2</v>
      </c>
      <c r="C222" s="102" t="str">
        <f t="shared" si="62"/>
        <v>9 h 30 à 11 h 30</v>
      </c>
      <c r="D222" s="310">
        <v>25</v>
      </c>
      <c r="E222" s="14">
        <v>9</v>
      </c>
      <c r="F222" s="22">
        <v>10</v>
      </c>
      <c r="G222" s="14">
        <v>14</v>
      </c>
      <c r="H222" s="14">
        <v>45</v>
      </c>
      <c r="I222" s="14">
        <v>15</v>
      </c>
      <c r="J222" s="14">
        <v>10</v>
      </c>
      <c r="K222" s="14">
        <v>28</v>
      </c>
      <c r="L222" s="14">
        <v>25</v>
      </c>
      <c r="M222" s="14">
        <v>24</v>
      </c>
      <c r="N222" s="14">
        <v>21</v>
      </c>
      <c r="O222" s="14">
        <v>25</v>
      </c>
    </row>
    <row r="223" spans="2:15" ht="14" customHeight="1" thickTop="1" thickBot="1" x14ac:dyDescent="0.2">
      <c r="B223" s="121">
        <v>3</v>
      </c>
      <c r="C223" s="102" t="str">
        <f t="shared" si="62"/>
        <v>11 h 30 à 14 h 30</v>
      </c>
      <c r="D223" s="22">
        <v>25</v>
      </c>
      <c r="E223" s="14">
        <v>50</v>
      </c>
      <c r="F223" s="22">
        <v>35</v>
      </c>
      <c r="G223" s="14">
        <v>41</v>
      </c>
      <c r="H223" s="14">
        <v>46</v>
      </c>
      <c r="I223" s="14">
        <v>45</v>
      </c>
      <c r="J223" s="14">
        <v>40</v>
      </c>
      <c r="K223" s="14">
        <v>28</v>
      </c>
      <c r="L223" s="14">
        <v>25</v>
      </c>
      <c r="M223" s="14">
        <v>24</v>
      </c>
      <c r="N223" s="14">
        <v>25</v>
      </c>
      <c r="O223" s="14">
        <v>25</v>
      </c>
    </row>
    <row r="224" spans="2:15" ht="14" customHeight="1" thickTop="1" thickBot="1" x14ac:dyDescent="0.2">
      <c r="B224" s="121">
        <v>4</v>
      </c>
      <c r="C224" s="102" t="str">
        <f t="shared" si="62"/>
        <v>14 h 30 à 17 h</v>
      </c>
      <c r="D224" s="22">
        <v>10</v>
      </c>
      <c r="E224" s="14">
        <v>9</v>
      </c>
      <c r="F224" s="22">
        <v>10</v>
      </c>
      <c r="G224" s="14">
        <v>11</v>
      </c>
      <c r="H224" s="14">
        <v>10</v>
      </c>
      <c r="I224" s="14">
        <v>15</v>
      </c>
      <c r="J224" s="14">
        <v>20</v>
      </c>
      <c r="K224" s="14">
        <v>28</v>
      </c>
      <c r="L224" s="14">
        <v>25</v>
      </c>
      <c r="M224" s="14">
        <v>24</v>
      </c>
      <c r="N224" s="14">
        <v>22</v>
      </c>
      <c r="O224" s="14">
        <v>25</v>
      </c>
    </row>
    <row r="225" spans="2:15" ht="14" customHeight="1" thickTop="1" thickBot="1" x14ac:dyDescent="0.2">
      <c r="B225" s="121">
        <v>5</v>
      </c>
      <c r="C225" s="102" t="str">
        <f t="shared" si="62"/>
        <v>17 h à 19 h</v>
      </c>
      <c r="D225" s="22">
        <v>25</v>
      </c>
      <c r="E225" s="14">
        <v>9</v>
      </c>
      <c r="F225" s="22">
        <v>35</v>
      </c>
      <c r="G225" s="14">
        <v>41</v>
      </c>
      <c r="H225" s="14">
        <v>11</v>
      </c>
      <c r="I225" s="14">
        <v>40</v>
      </c>
      <c r="J225" s="14">
        <v>16</v>
      </c>
      <c r="K225" s="14">
        <v>28</v>
      </c>
      <c r="L225" s="14">
        <v>25</v>
      </c>
      <c r="M225" s="14">
        <v>24</v>
      </c>
      <c r="N225" s="14">
        <v>25</v>
      </c>
      <c r="O225" s="14">
        <v>25</v>
      </c>
    </row>
    <row r="226" spans="2:15" ht="14" customHeight="1" thickTop="1" thickBot="1" x14ac:dyDescent="0.2">
      <c r="B226" s="121">
        <v>6</v>
      </c>
      <c r="C226" s="102" t="str">
        <f t="shared" si="62"/>
        <v>19 h à 23 h</v>
      </c>
      <c r="D226" s="22">
        <v>10</v>
      </c>
      <c r="E226" s="14">
        <v>29</v>
      </c>
      <c r="F226" s="22">
        <v>19</v>
      </c>
      <c r="G226" s="14">
        <v>11</v>
      </c>
      <c r="H226" s="14">
        <v>10</v>
      </c>
      <c r="I226" s="14">
        <v>15</v>
      </c>
      <c r="J226" s="14">
        <v>40</v>
      </c>
      <c r="K226" s="14">
        <v>21</v>
      </c>
      <c r="L226" s="14">
        <v>25</v>
      </c>
      <c r="M226" s="14">
        <v>24</v>
      </c>
      <c r="N226" s="14">
        <v>22</v>
      </c>
      <c r="O226" s="14">
        <v>25</v>
      </c>
    </row>
    <row r="227" spans="2:15" ht="14" customHeight="1" thickTop="1" thickBot="1" x14ac:dyDescent="0.2">
      <c r="B227" s="121">
        <v>7</v>
      </c>
      <c r="C227" s="102" t="str">
        <f t="shared" si="62"/>
        <v>23 h à 6 h</v>
      </c>
      <c r="D227" s="14">
        <v>0</v>
      </c>
      <c r="E227" s="14">
        <v>0</v>
      </c>
      <c r="F227" s="22">
        <v>0</v>
      </c>
      <c r="G227" s="14">
        <v>0</v>
      </c>
      <c r="H227" s="14">
        <v>0</v>
      </c>
      <c r="I227" s="14">
        <v>0</v>
      </c>
      <c r="J227" s="14">
        <v>0</v>
      </c>
      <c r="K227" s="14">
        <v>0</v>
      </c>
      <c r="L227" s="14">
        <v>0</v>
      </c>
      <c r="M227" s="14">
        <v>0</v>
      </c>
      <c r="N227" s="14">
        <v>0</v>
      </c>
      <c r="O227" s="14">
        <v>0</v>
      </c>
    </row>
    <row r="228" spans="2:15" ht="14" customHeight="1" thickTop="1" thickBot="1" x14ac:dyDescent="0.2">
      <c r="B228" s="19"/>
      <c r="C228" s="296" t="str">
        <f t="shared" ref="C228" si="63">+C210</f>
        <v>Total</v>
      </c>
      <c r="D228" s="24">
        <f t="shared" ref="D228:L228" si="64">+D221+D222+D223+D224+D225+D226+D227</f>
        <v>115</v>
      </c>
      <c r="E228" s="24">
        <f t="shared" si="64"/>
        <v>126</v>
      </c>
      <c r="F228" s="24">
        <f t="shared" si="64"/>
        <v>129</v>
      </c>
      <c r="G228" s="24">
        <f t="shared" si="64"/>
        <v>138</v>
      </c>
      <c r="H228" s="24">
        <f t="shared" si="64"/>
        <v>142</v>
      </c>
      <c r="I228" s="24">
        <f t="shared" si="64"/>
        <v>150</v>
      </c>
      <c r="J228" s="24">
        <f t="shared" si="64"/>
        <v>146</v>
      </c>
      <c r="K228" s="24">
        <f t="shared" si="64"/>
        <v>153</v>
      </c>
      <c r="L228" s="24">
        <f t="shared" si="64"/>
        <v>145</v>
      </c>
      <c r="M228" s="24">
        <f>+M221+M222+M223+M224+M225+M226+M227</f>
        <v>140</v>
      </c>
      <c r="N228" s="24">
        <f>+N221+N222+N223+N224+N225+N226+N227</f>
        <v>135</v>
      </c>
      <c r="O228" s="24">
        <f>+O221+O222+O223+O224+O225+O226+O227</f>
        <v>145</v>
      </c>
    </row>
    <row r="229" spans="2:15" ht="14" customHeight="1" thickTop="1" thickBot="1" x14ac:dyDescent="0.2">
      <c r="B229" s="124" t="s">
        <v>2</v>
      </c>
      <c r="C229" s="297" t="str">
        <f>+'Calendrier 2021'!C33</f>
        <v>Jeudi</v>
      </c>
      <c r="D229" s="77">
        <f>+'Calendrier 2021'!D33</f>
        <v>44217</v>
      </c>
      <c r="E229" s="77" t="str">
        <f>+'Calendrier 2021'!E33</f>
        <v>25 fev 2021</v>
      </c>
      <c r="F229" s="77">
        <f>+'Calendrier 2021'!F33</f>
        <v>44280</v>
      </c>
      <c r="G229" s="77">
        <f>+'Calendrier 2021'!G33</f>
        <v>44308</v>
      </c>
      <c r="H229" s="77">
        <f>+'Calendrier 2021'!H33</f>
        <v>44336</v>
      </c>
      <c r="I229" s="77">
        <f>+'Calendrier 2021'!I33</f>
        <v>44371</v>
      </c>
      <c r="J229" s="77">
        <f>+'Calendrier 2021'!J33</f>
        <v>44399</v>
      </c>
      <c r="K229" s="77">
        <f>+'Calendrier 2021'!K33</f>
        <v>44427</v>
      </c>
      <c r="L229" s="77">
        <f>+'Calendrier 2021'!L33</f>
        <v>44462</v>
      </c>
      <c r="M229" s="77">
        <f>+'Calendrier 2021'!M33</f>
        <v>44490</v>
      </c>
      <c r="N229" s="77">
        <f>+'Calendrier 2021'!N33</f>
        <v>44525</v>
      </c>
      <c r="O229" s="78" t="str">
        <f>+'Calendrier 2021'!O33</f>
        <v>23 dec 2021</v>
      </c>
    </row>
    <row r="230" spans="2:15" ht="14" customHeight="1" thickTop="1" thickBot="1" x14ac:dyDescent="0.2">
      <c r="B230" s="18">
        <v>1</v>
      </c>
      <c r="C230" s="100" t="str">
        <f t="shared" ref="C230:C236" si="65">C221</f>
        <v>6 h à 9 h 30</v>
      </c>
      <c r="D230" s="12">
        <v>20</v>
      </c>
      <c r="E230" s="12">
        <v>20</v>
      </c>
      <c r="F230" s="12">
        <v>20</v>
      </c>
      <c r="G230" s="12">
        <v>20</v>
      </c>
      <c r="H230" s="12">
        <v>20</v>
      </c>
      <c r="I230" s="12">
        <v>20</v>
      </c>
      <c r="J230" s="12">
        <v>20</v>
      </c>
      <c r="K230" s="12">
        <v>20</v>
      </c>
      <c r="L230" s="12">
        <v>20</v>
      </c>
      <c r="M230" s="12">
        <v>20</v>
      </c>
      <c r="N230" s="12">
        <v>20</v>
      </c>
      <c r="O230" s="12">
        <v>20</v>
      </c>
    </row>
    <row r="231" spans="2:15" ht="14" customHeight="1" thickTop="1" thickBot="1" x14ac:dyDescent="0.2">
      <c r="B231" s="121">
        <v>2</v>
      </c>
      <c r="C231" s="102" t="str">
        <f t="shared" si="65"/>
        <v>9 h 30 à 11 h 30</v>
      </c>
      <c r="D231" s="310">
        <v>25</v>
      </c>
      <c r="E231" s="14">
        <v>9</v>
      </c>
      <c r="F231" s="22">
        <v>10</v>
      </c>
      <c r="G231" s="14">
        <v>14</v>
      </c>
      <c r="H231" s="14">
        <v>45</v>
      </c>
      <c r="I231" s="14">
        <v>15</v>
      </c>
      <c r="J231" s="14">
        <v>10</v>
      </c>
      <c r="K231" s="14">
        <v>28</v>
      </c>
      <c r="L231" s="14">
        <v>25</v>
      </c>
      <c r="M231" s="14">
        <v>24</v>
      </c>
      <c r="N231" s="14">
        <v>21</v>
      </c>
      <c r="O231" s="14">
        <v>25</v>
      </c>
    </row>
    <row r="232" spans="2:15" ht="14" customHeight="1" thickTop="1" thickBot="1" x14ac:dyDescent="0.2">
      <c r="B232" s="121">
        <v>3</v>
      </c>
      <c r="C232" s="102" t="str">
        <f t="shared" si="65"/>
        <v>11 h 30 à 14 h 30</v>
      </c>
      <c r="D232" s="22">
        <v>25</v>
      </c>
      <c r="E232" s="14">
        <v>50</v>
      </c>
      <c r="F232" s="22">
        <v>35</v>
      </c>
      <c r="G232" s="14">
        <v>41</v>
      </c>
      <c r="H232" s="14">
        <v>46</v>
      </c>
      <c r="I232" s="14">
        <v>45</v>
      </c>
      <c r="J232" s="14">
        <v>50</v>
      </c>
      <c r="K232" s="14">
        <v>28</v>
      </c>
      <c r="L232" s="14">
        <v>25</v>
      </c>
      <c r="M232" s="14">
        <v>24</v>
      </c>
      <c r="N232" s="14">
        <v>25</v>
      </c>
      <c r="O232" s="14">
        <v>25</v>
      </c>
    </row>
    <row r="233" spans="2:15" ht="14" customHeight="1" thickTop="1" thickBot="1" x14ac:dyDescent="0.2">
      <c r="B233" s="121">
        <v>4</v>
      </c>
      <c r="C233" s="102" t="str">
        <f t="shared" si="65"/>
        <v>14 h 30 à 17 h</v>
      </c>
      <c r="D233" s="22">
        <v>20</v>
      </c>
      <c r="E233" s="14">
        <v>29</v>
      </c>
      <c r="F233" s="22">
        <v>20</v>
      </c>
      <c r="G233" s="14">
        <v>21</v>
      </c>
      <c r="H233" s="14">
        <v>30</v>
      </c>
      <c r="I233" s="14">
        <v>25</v>
      </c>
      <c r="J233" s="14">
        <v>30</v>
      </c>
      <c r="K233" s="14">
        <v>38</v>
      </c>
      <c r="L233" s="14">
        <v>35</v>
      </c>
      <c r="M233" s="14">
        <v>44</v>
      </c>
      <c r="N233" s="14">
        <v>32</v>
      </c>
      <c r="O233" s="14">
        <v>35</v>
      </c>
    </row>
    <row r="234" spans="2:15" ht="14" customHeight="1" thickTop="1" thickBot="1" x14ac:dyDescent="0.2">
      <c r="B234" s="121">
        <v>5</v>
      </c>
      <c r="C234" s="102" t="str">
        <f t="shared" si="65"/>
        <v>17 h à 19 h</v>
      </c>
      <c r="D234" s="22">
        <v>25</v>
      </c>
      <c r="E234" s="14">
        <v>9</v>
      </c>
      <c r="F234" s="22">
        <v>35</v>
      </c>
      <c r="G234" s="14">
        <v>41</v>
      </c>
      <c r="H234" s="14">
        <v>11</v>
      </c>
      <c r="I234" s="14">
        <v>40</v>
      </c>
      <c r="J234" s="14">
        <v>16</v>
      </c>
      <c r="K234" s="14">
        <v>28</v>
      </c>
      <c r="L234" s="14">
        <v>25</v>
      </c>
      <c r="M234" s="14">
        <v>24</v>
      </c>
      <c r="N234" s="14">
        <v>25</v>
      </c>
      <c r="O234" s="14">
        <v>25</v>
      </c>
    </row>
    <row r="235" spans="2:15" ht="14" customHeight="1" thickTop="1" thickBot="1" x14ac:dyDescent="0.2">
      <c r="B235" s="121">
        <v>6</v>
      </c>
      <c r="C235" s="102" t="str">
        <f t="shared" si="65"/>
        <v>19 h à 23 h</v>
      </c>
      <c r="D235" s="22">
        <v>10</v>
      </c>
      <c r="E235" s="14">
        <v>29</v>
      </c>
      <c r="F235" s="22">
        <v>19</v>
      </c>
      <c r="G235" s="14">
        <v>11</v>
      </c>
      <c r="H235" s="14">
        <v>10</v>
      </c>
      <c r="I235" s="14">
        <v>15</v>
      </c>
      <c r="J235" s="14">
        <v>40</v>
      </c>
      <c r="K235" s="14">
        <v>21</v>
      </c>
      <c r="L235" s="14">
        <v>25</v>
      </c>
      <c r="M235" s="14">
        <v>24</v>
      </c>
      <c r="N235" s="14">
        <v>22</v>
      </c>
      <c r="O235" s="14">
        <v>25</v>
      </c>
    </row>
    <row r="236" spans="2:15" ht="14" customHeight="1" thickTop="1" thickBot="1" x14ac:dyDescent="0.2">
      <c r="B236" s="121">
        <v>7</v>
      </c>
      <c r="C236" s="102" t="str">
        <f t="shared" si="65"/>
        <v>23 h à 6 h</v>
      </c>
      <c r="D236" s="14">
        <v>0</v>
      </c>
      <c r="E236" s="14">
        <v>0</v>
      </c>
      <c r="F236" s="22">
        <v>0</v>
      </c>
      <c r="G236" s="14">
        <v>0</v>
      </c>
      <c r="H236" s="14">
        <v>0</v>
      </c>
      <c r="I236" s="14">
        <v>0</v>
      </c>
      <c r="J236" s="14">
        <v>0</v>
      </c>
      <c r="K236" s="14">
        <v>0</v>
      </c>
      <c r="L236" s="14">
        <v>0</v>
      </c>
      <c r="M236" s="14">
        <v>0</v>
      </c>
      <c r="N236" s="14">
        <v>0</v>
      </c>
      <c r="O236" s="14">
        <v>0</v>
      </c>
    </row>
    <row r="237" spans="2:15" ht="14" customHeight="1" thickTop="1" thickBot="1" x14ac:dyDescent="0.2">
      <c r="B237" s="19"/>
      <c r="C237" s="21" t="str">
        <f>+C228</f>
        <v>Total</v>
      </c>
      <c r="D237" s="24">
        <f t="shared" ref="D237:L237" si="66">+D230+D231+D232+D233+D234+D235+D236</f>
        <v>125</v>
      </c>
      <c r="E237" s="24">
        <f t="shared" si="66"/>
        <v>146</v>
      </c>
      <c r="F237" s="24">
        <f t="shared" si="66"/>
        <v>139</v>
      </c>
      <c r="G237" s="24">
        <f t="shared" si="66"/>
        <v>148</v>
      </c>
      <c r="H237" s="24">
        <f t="shared" si="66"/>
        <v>162</v>
      </c>
      <c r="I237" s="24">
        <f t="shared" si="66"/>
        <v>160</v>
      </c>
      <c r="J237" s="24">
        <f t="shared" si="66"/>
        <v>166</v>
      </c>
      <c r="K237" s="24">
        <f t="shared" si="66"/>
        <v>163</v>
      </c>
      <c r="L237" s="24">
        <f t="shared" si="66"/>
        <v>155</v>
      </c>
      <c r="M237" s="24">
        <f>+M230+M231+M232+M233+M234+M235+M236</f>
        <v>160</v>
      </c>
      <c r="N237" s="24">
        <f>+N230+N231+N232+N233+N234+N235+N236</f>
        <v>145</v>
      </c>
      <c r="O237" s="24">
        <f>+O230+O231+O232+O233+O234+O235+O236</f>
        <v>155</v>
      </c>
    </row>
    <row r="238" spans="2:15" ht="14" customHeight="1" thickTop="1" thickBot="1" x14ac:dyDescent="0.2">
      <c r="B238" s="124" t="s">
        <v>2</v>
      </c>
      <c r="C238" s="125" t="str">
        <f>+'Calendrier 2021'!C34</f>
        <v>Vendredi</v>
      </c>
      <c r="D238" s="77">
        <f>+'Calendrier 2021'!D34</f>
        <v>44218</v>
      </c>
      <c r="E238" s="77" t="str">
        <f>+'Calendrier 2021'!E34</f>
        <v>26 fev 2021</v>
      </c>
      <c r="F238" s="77">
        <f>+'Calendrier 2021'!F34</f>
        <v>44281</v>
      </c>
      <c r="G238" s="77">
        <f>+'Calendrier 2021'!G34</f>
        <v>44309</v>
      </c>
      <c r="H238" s="77">
        <f>+'Calendrier 2021'!H34</f>
        <v>44337</v>
      </c>
      <c r="I238" s="77">
        <f>+'Calendrier 2021'!I34</f>
        <v>44372</v>
      </c>
      <c r="J238" s="77">
        <f>+'Calendrier 2021'!J34</f>
        <v>44400</v>
      </c>
      <c r="K238" s="77">
        <f>+'Calendrier 2021'!K34</f>
        <v>44428</v>
      </c>
      <c r="L238" s="77">
        <f>+'Calendrier 2021'!L34</f>
        <v>44463</v>
      </c>
      <c r="M238" s="77">
        <f>+'Calendrier 2021'!M34</f>
        <v>44491</v>
      </c>
      <c r="N238" s="77">
        <f>+'Calendrier 2021'!N34</f>
        <v>44526</v>
      </c>
      <c r="O238" s="78" t="str">
        <f>+'Calendrier 2021'!O34</f>
        <v>24 dec 2021</v>
      </c>
    </row>
    <row r="239" spans="2:15" ht="14" customHeight="1" thickTop="1" thickBot="1" x14ac:dyDescent="0.2">
      <c r="B239" s="18">
        <v>1</v>
      </c>
      <c r="C239" s="100" t="str">
        <f t="shared" ref="C239:C245" si="67">C230</f>
        <v>6 h à 9 h 30</v>
      </c>
      <c r="D239" s="12">
        <v>20</v>
      </c>
      <c r="E239" s="12">
        <v>20</v>
      </c>
      <c r="F239" s="12">
        <v>20</v>
      </c>
      <c r="G239" s="12">
        <v>20</v>
      </c>
      <c r="H239" s="12">
        <v>20</v>
      </c>
      <c r="I239" s="12">
        <v>20</v>
      </c>
      <c r="J239" s="12">
        <v>20</v>
      </c>
      <c r="K239" s="12">
        <v>20</v>
      </c>
      <c r="L239" s="12">
        <v>20</v>
      </c>
      <c r="M239" s="12">
        <v>20</v>
      </c>
      <c r="N239" s="12">
        <v>20</v>
      </c>
      <c r="O239" s="12">
        <v>20</v>
      </c>
    </row>
    <row r="240" spans="2:15" ht="14" customHeight="1" thickTop="1" thickBot="1" x14ac:dyDescent="0.2">
      <c r="B240" s="121">
        <v>2</v>
      </c>
      <c r="C240" s="102" t="str">
        <f t="shared" si="67"/>
        <v>9 h 30 à 11 h 30</v>
      </c>
      <c r="D240" s="310">
        <v>25</v>
      </c>
      <c r="E240" s="14">
        <v>9</v>
      </c>
      <c r="F240" s="22">
        <v>10</v>
      </c>
      <c r="G240" s="14">
        <v>14</v>
      </c>
      <c r="H240" s="14">
        <v>45</v>
      </c>
      <c r="I240" s="14">
        <v>15</v>
      </c>
      <c r="J240" s="14">
        <v>10</v>
      </c>
      <c r="K240" s="14">
        <v>28</v>
      </c>
      <c r="L240" s="14">
        <v>25</v>
      </c>
      <c r="M240" s="14">
        <v>24</v>
      </c>
      <c r="N240" s="14">
        <v>21</v>
      </c>
      <c r="O240" s="14">
        <v>25</v>
      </c>
    </row>
    <row r="241" spans="2:16" ht="14" customHeight="1" thickTop="1" thickBot="1" x14ac:dyDescent="0.2">
      <c r="B241" s="121">
        <v>3</v>
      </c>
      <c r="C241" s="102" t="str">
        <f t="shared" si="67"/>
        <v>11 h 30 à 14 h 30</v>
      </c>
      <c r="D241" s="22">
        <v>25</v>
      </c>
      <c r="E241" s="14">
        <v>50</v>
      </c>
      <c r="F241" s="22">
        <v>35</v>
      </c>
      <c r="G241" s="14">
        <v>41</v>
      </c>
      <c r="H241" s="14">
        <v>46</v>
      </c>
      <c r="I241" s="14">
        <v>45</v>
      </c>
      <c r="J241" s="14">
        <v>40</v>
      </c>
      <c r="K241" s="14">
        <v>28</v>
      </c>
      <c r="L241" s="14">
        <v>25</v>
      </c>
      <c r="M241" s="14">
        <v>24</v>
      </c>
      <c r="N241" s="14">
        <v>25</v>
      </c>
      <c r="O241" s="14">
        <v>25</v>
      </c>
      <c r="P241" s="25" t="s">
        <v>2</v>
      </c>
    </row>
    <row r="242" spans="2:16" ht="14" customHeight="1" thickTop="1" thickBot="1" x14ac:dyDescent="0.2">
      <c r="B242" s="121">
        <v>4</v>
      </c>
      <c r="C242" s="102" t="str">
        <f t="shared" si="67"/>
        <v>14 h 30 à 17 h</v>
      </c>
      <c r="D242" s="22">
        <v>20</v>
      </c>
      <c r="E242" s="14">
        <v>29</v>
      </c>
      <c r="F242" s="22">
        <v>20</v>
      </c>
      <c r="G242" s="14">
        <v>21</v>
      </c>
      <c r="H242" s="14">
        <v>20</v>
      </c>
      <c r="I242" s="14">
        <v>25</v>
      </c>
      <c r="J242" s="14">
        <v>30</v>
      </c>
      <c r="K242" s="14">
        <v>38</v>
      </c>
      <c r="L242" s="14">
        <v>35</v>
      </c>
      <c r="M242" s="14">
        <v>34</v>
      </c>
      <c r="N242" s="14">
        <v>32</v>
      </c>
      <c r="O242" s="14">
        <v>35</v>
      </c>
    </row>
    <row r="243" spans="2:16" ht="14" customHeight="1" thickTop="1" thickBot="1" x14ac:dyDescent="0.2">
      <c r="B243" s="121">
        <v>5</v>
      </c>
      <c r="C243" s="102" t="str">
        <f t="shared" si="67"/>
        <v>17 h à 19 h</v>
      </c>
      <c r="D243" s="22">
        <v>25</v>
      </c>
      <c r="E243" s="14">
        <v>9</v>
      </c>
      <c r="F243" s="22">
        <v>35</v>
      </c>
      <c r="G243" s="14">
        <v>41</v>
      </c>
      <c r="H243" s="14">
        <v>11</v>
      </c>
      <c r="I243" s="14">
        <v>40</v>
      </c>
      <c r="J243" s="14">
        <v>16</v>
      </c>
      <c r="K243" s="14">
        <v>28</v>
      </c>
      <c r="L243" s="14">
        <v>25</v>
      </c>
      <c r="M243" s="14">
        <v>24</v>
      </c>
      <c r="N243" s="14">
        <v>25</v>
      </c>
      <c r="O243" s="14">
        <v>25</v>
      </c>
    </row>
    <row r="244" spans="2:16" ht="14" customHeight="1" thickTop="1" thickBot="1" x14ac:dyDescent="0.2">
      <c r="B244" s="121">
        <v>6</v>
      </c>
      <c r="C244" s="102" t="str">
        <f t="shared" si="67"/>
        <v>19 h à 23 h</v>
      </c>
      <c r="D244" s="22">
        <v>10</v>
      </c>
      <c r="E244" s="14">
        <v>29</v>
      </c>
      <c r="F244" s="22">
        <v>19</v>
      </c>
      <c r="G244" s="14">
        <v>11</v>
      </c>
      <c r="H244" s="14">
        <v>10</v>
      </c>
      <c r="I244" s="14">
        <v>15</v>
      </c>
      <c r="J244" s="14">
        <v>40</v>
      </c>
      <c r="K244" s="14">
        <v>21</v>
      </c>
      <c r="L244" s="14">
        <v>25</v>
      </c>
      <c r="M244" s="14">
        <v>24</v>
      </c>
      <c r="N244" s="14">
        <v>22</v>
      </c>
      <c r="O244" s="14">
        <v>25</v>
      </c>
    </row>
    <row r="245" spans="2:16" ht="14" customHeight="1" thickTop="1" thickBot="1" x14ac:dyDescent="0.2">
      <c r="B245" s="121">
        <v>7</v>
      </c>
      <c r="C245" s="102" t="str">
        <f t="shared" si="67"/>
        <v>23 h à 6 h</v>
      </c>
      <c r="D245" s="14">
        <v>0</v>
      </c>
      <c r="E245" s="14">
        <v>0</v>
      </c>
      <c r="F245" s="22">
        <v>0</v>
      </c>
      <c r="G245" s="14">
        <v>0</v>
      </c>
      <c r="H245" s="14">
        <v>0</v>
      </c>
      <c r="I245" s="14">
        <v>0</v>
      </c>
      <c r="J245" s="14">
        <v>0</v>
      </c>
      <c r="K245" s="14">
        <v>0</v>
      </c>
      <c r="L245" s="14">
        <v>0</v>
      </c>
      <c r="M245" s="14">
        <v>0</v>
      </c>
      <c r="N245" s="14">
        <v>0</v>
      </c>
      <c r="O245" s="14">
        <v>0</v>
      </c>
    </row>
    <row r="246" spans="2:16" ht="14" customHeight="1" thickTop="1" thickBot="1" x14ac:dyDescent="0.2">
      <c r="B246" s="19"/>
      <c r="C246" s="296" t="str">
        <f t="shared" ref="C246" si="68">+C237</f>
        <v>Total</v>
      </c>
      <c r="D246" s="24">
        <f t="shared" ref="D246:L246" si="69">+D239+D240+D241+D242+D243+D244+D245</f>
        <v>125</v>
      </c>
      <c r="E246" s="24">
        <f t="shared" si="69"/>
        <v>146</v>
      </c>
      <c r="F246" s="24">
        <f t="shared" si="69"/>
        <v>139</v>
      </c>
      <c r="G246" s="24">
        <f t="shared" si="69"/>
        <v>148</v>
      </c>
      <c r="H246" s="24">
        <f t="shared" si="69"/>
        <v>152</v>
      </c>
      <c r="I246" s="24">
        <f t="shared" si="69"/>
        <v>160</v>
      </c>
      <c r="J246" s="24">
        <f t="shared" si="69"/>
        <v>156</v>
      </c>
      <c r="K246" s="24">
        <f t="shared" si="69"/>
        <v>163</v>
      </c>
      <c r="L246" s="24">
        <f t="shared" si="69"/>
        <v>155</v>
      </c>
      <c r="M246" s="24">
        <f>+M239+M240+M241+M242+M243+M244+M245</f>
        <v>150</v>
      </c>
      <c r="N246" s="24">
        <f>+N239+N240+N241+N242+N243+N244+N245</f>
        <v>145</v>
      </c>
      <c r="O246" s="24">
        <f>+O239+O240+O241+O242+O243+O244+O245</f>
        <v>155</v>
      </c>
    </row>
    <row r="247" spans="2:16" ht="14" customHeight="1" thickTop="1" thickBot="1" x14ac:dyDescent="0.2">
      <c r="B247" s="124" t="s">
        <v>2</v>
      </c>
      <c r="C247" s="297" t="str">
        <f>+'Calendrier 2021'!C35</f>
        <v>Samedi</v>
      </c>
      <c r="D247" s="77">
        <f>+'Calendrier 2021'!D35</f>
        <v>44219</v>
      </c>
      <c r="E247" s="77" t="str">
        <f>+'Calendrier 2021'!E35</f>
        <v>27 fev 2021</v>
      </c>
      <c r="F247" s="77">
        <f>+'Calendrier 2021'!F35</f>
        <v>44282</v>
      </c>
      <c r="G247" s="77">
        <f>+'Calendrier 2021'!G35</f>
        <v>44310</v>
      </c>
      <c r="H247" s="77">
        <f>+'Calendrier 2021'!H35</f>
        <v>44338</v>
      </c>
      <c r="I247" s="77">
        <f>+'Calendrier 2021'!I35</f>
        <v>44373</v>
      </c>
      <c r="J247" s="77">
        <f>+'Calendrier 2021'!J35</f>
        <v>44401</v>
      </c>
      <c r="K247" s="77">
        <f>+'Calendrier 2021'!K35</f>
        <v>44429</v>
      </c>
      <c r="L247" s="77">
        <f>+'Calendrier 2021'!L35</f>
        <v>44464</v>
      </c>
      <c r="M247" s="77">
        <f>+'Calendrier 2021'!M35</f>
        <v>44492</v>
      </c>
      <c r="N247" s="77">
        <f>+'Calendrier 2021'!N35</f>
        <v>44527</v>
      </c>
      <c r="O247" s="78" t="str">
        <f>+'Calendrier 2021'!O35</f>
        <v>25 dec 2021</v>
      </c>
    </row>
    <row r="248" spans="2:16" ht="14" customHeight="1" thickTop="1" thickBot="1" x14ac:dyDescent="0.2">
      <c r="B248" s="18">
        <v>1</v>
      </c>
      <c r="C248" s="100" t="str">
        <f t="shared" ref="C248:C254" si="70">C239</f>
        <v>6 h à 9 h 30</v>
      </c>
      <c r="D248" s="12">
        <v>20</v>
      </c>
      <c r="E248" s="12">
        <v>20</v>
      </c>
      <c r="F248" s="12">
        <v>20</v>
      </c>
      <c r="G248" s="12">
        <v>20</v>
      </c>
      <c r="H248" s="12">
        <v>20</v>
      </c>
      <c r="I248" s="12">
        <v>20</v>
      </c>
      <c r="J248" s="12">
        <v>20</v>
      </c>
      <c r="K248" s="12">
        <v>20</v>
      </c>
      <c r="L248" s="12">
        <v>20</v>
      </c>
      <c r="M248" s="12">
        <v>20</v>
      </c>
      <c r="N248" s="12">
        <v>20</v>
      </c>
      <c r="O248" s="12">
        <v>20</v>
      </c>
    </row>
    <row r="249" spans="2:16" ht="14" customHeight="1" thickTop="1" thickBot="1" x14ac:dyDescent="0.2">
      <c r="B249" s="18">
        <v>2</v>
      </c>
      <c r="C249" s="102" t="str">
        <f t="shared" si="70"/>
        <v>9 h 30 à 11 h 30</v>
      </c>
      <c r="D249" s="310">
        <v>25</v>
      </c>
      <c r="E249" s="14">
        <v>9</v>
      </c>
      <c r="F249" s="22">
        <v>10</v>
      </c>
      <c r="G249" s="14">
        <v>14</v>
      </c>
      <c r="H249" s="14">
        <v>45</v>
      </c>
      <c r="I249" s="14">
        <v>15</v>
      </c>
      <c r="J249" s="14">
        <v>10</v>
      </c>
      <c r="K249" s="14">
        <v>28</v>
      </c>
      <c r="L249" s="14">
        <v>25</v>
      </c>
      <c r="M249" s="14">
        <v>24</v>
      </c>
      <c r="N249" s="14">
        <v>21</v>
      </c>
      <c r="O249" s="14">
        <v>25</v>
      </c>
    </row>
    <row r="250" spans="2:16" ht="14" customHeight="1" thickTop="1" thickBot="1" x14ac:dyDescent="0.2">
      <c r="B250" s="18">
        <v>3</v>
      </c>
      <c r="C250" s="102" t="str">
        <f t="shared" si="70"/>
        <v>11 h 30 à 14 h 30</v>
      </c>
      <c r="D250" s="22">
        <v>25</v>
      </c>
      <c r="E250" s="14">
        <v>50</v>
      </c>
      <c r="F250" s="22">
        <v>35</v>
      </c>
      <c r="G250" s="14">
        <v>41</v>
      </c>
      <c r="H250" s="14">
        <v>46</v>
      </c>
      <c r="I250" s="14">
        <v>45</v>
      </c>
      <c r="J250" s="14">
        <v>40</v>
      </c>
      <c r="K250" s="14">
        <v>28</v>
      </c>
      <c r="L250" s="14">
        <v>25</v>
      </c>
      <c r="M250" s="14">
        <v>24</v>
      </c>
      <c r="N250" s="14">
        <v>25</v>
      </c>
      <c r="O250" s="14">
        <v>25</v>
      </c>
    </row>
    <row r="251" spans="2:16" ht="14" customHeight="1" thickTop="1" thickBot="1" x14ac:dyDescent="0.2">
      <c r="B251" s="18">
        <v>4</v>
      </c>
      <c r="C251" s="102" t="str">
        <f t="shared" si="70"/>
        <v>14 h 30 à 17 h</v>
      </c>
      <c r="D251" s="22">
        <v>10</v>
      </c>
      <c r="E251" s="14">
        <v>9</v>
      </c>
      <c r="F251" s="22">
        <v>10</v>
      </c>
      <c r="G251" s="14">
        <v>11</v>
      </c>
      <c r="H251" s="14">
        <v>10</v>
      </c>
      <c r="I251" s="14">
        <v>15</v>
      </c>
      <c r="J251" s="14">
        <v>20</v>
      </c>
      <c r="K251" s="14">
        <v>28</v>
      </c>
      <c r="L251" s="14">
        <v>25</v>
      </c>
      <c r="M251" s="14">
        <v>24</v>
      </c>
      <c r="N251" s="14">
        <v>22</v>
      </c>
      <c r="O251" s="14">
        <v>25</v>
      </c>
    </row>
    <row r="252" spans="2:16" ht="14" customHeight="1" thickTop="1" thickBot="1" x14ac:dyDescent="0.2">
      <c r="B252" s="18">
        <v>5</v>
      </c>
      <c r="C252" s="102" t="str">
        <f t="shared" si="70"/>
        <v>17 h à 19 h</v>
      </c>
      <c r="D252" s="22">
        <v>25</v>
      </c>
      <c r="E252" s="14">
        <v>9</v>
      </c>
      <c r="F252" s="22">
        <v>35</v>
      </c>
      <c r="G252" s="14">
        <v>41</v>
      </c>
      <c r="H252" s="14">
        <v>11</v>
      </c>
      <c r="I252" s="14">
        <v>40</v>
      </c>
      <c r="J252" s="14">
        <v>16</v>
      </c>
      <c r="K252" s="14">
        <v>28</v>
      </c>
      <c r="L252" s="14">
        <v>25</v>
      </c>
      <c r="M252" s="14">
        <v>24</v>
      </c>
      <c r="N252" s="14">
        <v>25</v>
      </c>
      <c r="O252" s="14">
        <v>25</v>
      </c>
    </row>
    <row r="253" spans="2:16" ht="14" customHeight="1" thickTop="1" thickBot="1" x14ac:dyDescent="0.2">
      <c r="B253" s="18">
        <v>6</v>
      </c>
      <c r="C253" s="102" t="str">
        <f t="shared" si="70"/>
        <v>19 h à 23 h</v>
      </c>
      <c r="D253" s="22">
        <v>10</v>
      </c>
      <c r="E253" s="14">
        <v>29</v>
      </c>
      <c r="F253" s="22">
        <v>19</v>
      </c>
      <c r="G253" s="14">
        <v>11</v>
      </c>
      <c r="H253" s="14">
        <v>10</v>
      </c>
      <c r="I253" s="14">
        <v>15</v>
      </c>
      <c r="J253" s="14">
        <v>40</v>
      </c>
      <c r="K253" s="14">
        <v>21</v>
      </c>
      <c r="L253" s="14">
        <v>25</v>
      </c>
      <c r="M253" s="14">
        <v>24</v>
      </c>
      <c r="N253" s="14">
        <v>22</v>
      </c>
      <c r="O253" s="14">
        <v>25</v>
      </c>
    </row>
    <row r="254" spans="2:16" ht="14" customHeight="1" thickTop="1" thickBot="1" x14ac:dyDescent="0.2">
      <c r="B254" s="18">
        <v>7</v>
      </c>
      <c r="C254" s="102" t="str">
        <f t="shared" si="70"/>
        <v>23 h à 6 h</v>
      </c>
      <c r="D254" s="14">
        <v>0</v>
      </c>
      <c r="E254" s="14">
        <v>0</v>
      </c>
      <c r="F254" s="22">
        <v>0</v>
      </c>
      <c r="G254" s="14">
        <v>0</v>
      </c>
      <c r="H254" s="14">
        <v>0</v>
      </c>
      <c r="I254" s="14">
        <v>0</v>
      </c>
      <c r="J254" s="14">
        <v>0</v>
      </c>
      <c r="K254" s="14">
        <v>0</v>
      </c>
      <c r="L254" s="14">
        <v>0</v>
      </c>
      <c r="M254" s="14">
        <v>0</v>
      </c>
      <c r="N254" s="14">
        <v>0</v>
      </c>
      <c r="O254" s="14">
        <v>0</v>
      </c>
    </row>
    <row r="255" spans="2:16" ht="14" customHeight="1" thickTop="1" thickBot="1" x14ac:dyDescent="0.2">
      <c r="B255" s="19"/>
      <c r="C255" s="296" t="str">
        <f t="shared" ref="C255" si="71">+C246</f>
        <v>Total</v>
      </c>
      <c r="D255" s="24">
        <f t="shared" ref="D255:L255" si="72">+D248+D249+D250+D251+D252+D253+D254</f>
        <v>115</v>
      </c>
      <c r="E255" s="24">
        <f t="shared" si="72"/>
        <v>126</v>
      </c>
      <c r="F255" s="24">
        <f t="shared" si="72"/>
        <v>129</v>
      </c>
      <c r="G255" s="24">
        <f t="shared" si="72"/>
        <v>138</v>
      </c>
      <c r="H255" s="24">
        <f t="shared" si="72"/>
        <v>142</v>
      </c>
      <c r="I255" s="24">
        <f t="shared" si="72"/>
        <v>150</v>
      </c>
      <c r="J255" s="24">
        <f t="shared" si="72"/>
        <v>146</v>
      </c>
      <c r="K255" s="24">
        <f t="shared" si="72"/>
        <v>153</v>
      </c>
      <c r="L255" s="24">
        <f t="shared" si="72"/>
        <v>145</v>
      </c>
      <c r="M255" s="24">
        <f>+M248+M249+M250+M251+M252+M253+M254</f>
        <v>140</v>
      </c>
      <c r="N255" s="24">
        <f>+N248+N249+N250+N251+N252+N253+N254</f>
        <v>135</v>
      </c>
      <c r="O255" s="24">
        <f>+O248+O249+O250+O251+O252+O253+O254</f>
        <v>145</v>
      </c>
    </row>
    <row r="256" spans="2:16" ht="14" customHeight="1" thickTop="1" thickBot="1" x14ac:dyDescent="0.2">
      <c r="B256" s="124" t="s">
        <v>2</v>
      </c>
      <c r="C256" s="125" t="str">
        <f>+'Calendrier 2021'!C36</f>
        <v>Dimanche</v>
      </c>
      <c r="D256" s="77">
        <f>+'Calendrier 2021'!D36</f>
        <v>44220</v>
      </c>
      <c r="E256" s="77" t="str">
        <f>+'Calendrier 2021'!E36</f>
        <v>28 fev 2021</v>
      </c>
      <c r="F256" s="77">
        <f>+'Calendrier 2021'!F36</f>
        <v>44283</v>
      </c>
      <c r="G256" s="77">
        <f>+'Calendrier 2021'!G36</f>
        <v>44311</v>
      </c>
      <c r="H256" s="77">
        <f>+'Calendrier 2021'!H36</f>
        <v>44339</v>
      </c>
      <c r="I256" s="77">
        <f>+'Calendrier 2021'!I36</f>
        <v>44374</v>
      </c>
      <c r="J256" s="77">
        <f>+'Calendrier 2021'!J36</f>
        <v>44402</v>
      </c>
      <c r="K256" s="77">
        <f>+'Calendrier 2021'!K36</f>
        <v>44430</v>
      </c>
      <c r="L256" s="77">
        <f>+'Calendrier 2021'!L36</f>
        <v>44465</v>
      </c>
      <c r="M256" s="77">
        <f>+'Calendrier 2021'!M36</f>
        <v>44493</v>
      </c>
      <c r="N256" s="77">
        <f>+'Calendrier 2021'!N36</f>
        <v>44528</v>
      </c>
      <c r="O256" s="78" t="str">
        <f>+'Calendrier 2021'!O36</f>
        <v>26 dec 2021</v>
      </c>
      <c r="P256" s="26"/>
    </row>
    <row r="257" spans="2:15" ht="14" customHeight="1" thickTop="1" thickBot="1" x14ac:dyDescent="0.2">
      <c r="B257" s="121">
        <v>1</v>
      </c>
      <c r="C257" s="100" t="str">
        <f t="shared" ref="C257:C263" si="73">C248</f>
        <v>6 h à 9 h 30</v>
      </c>
      <c r="D257" s="12">
        <v>20</v>
      </c>
      <c r="E257" s="12">
        <v>20</v>
      </c>
      <c r="F257" s="12">
        <v>20</v>
      </c>
      <c r="G257" s="12">
        <v>20</v>
      </c>
      <c r="H257" s="12">
        <v>20</v>
      </c>
      <c r="I257" s="12">
        <v>20</v>
      </c>
      <c r="J257" s="12">
        <v>20</v>
      </c>
      <c r="K257" s="12">
        <v>20</v>
      </c>
      <c r="L257" s="12">
        <v>20</v>
      </c>
      <c r="M257" s="12">
        <v>20</v>
      </c>
      <c r="N257" s="12">
        <v>20</v>
      </c>
      <c r="O257" s="12">
        <v>20</v>
      </c>
    </row>
    <row r="258" spans="2:15" ht="14" customHeight="1" thickTop="1" thickBot="1" x14ac:dyDescent="0.2">
      <c r="B258" s="18">
        <v>2</v>
      </c>
      <c r="C258" s="102" t="str">
        <f t="shared" si="73"/>
        <v>9 h 30 à 11 h 30</v>
      </c>
      <c r="D258" s="310">
        <v>25</v>
      </c>
      <c r="E258" s="14">
        <v>9</v>
      </c>
      <c r="F258" s="22">
        <v>10</v>
      </c>
      <c r="G258" s="14">
        <v>14</v>
      </c>
      <c r="H258" s="14">
        <v>45</v>
      </c>
      <c r="I258" s="14">
        <v>15</v>
      </c>
      <c r="J258" s="14">
        <v>10</v>
      </c>
      <c r="K258" s="14">
        <v>28</v>
      </c>
      <c r="L258" s="14">
        <v>25</v>
      </c>
      <c r="M258" s="14">
        <v>24</v>
      </c>
      <c r="N258" s="14">
        <v>21</v>
      </c>
      <c r="O258" s="14">
        <v>25</v>
      </c>
    </row>
    <row r="259" spans="2:15" ht="14" customHeight="1" thickTop="1" thickBot="1" x14ac:dyDescent="0.2">
      <c r="B259" s="18">
        <v>3</v>
      </c>
      <c r="C259" s="102" t="str">
        <f t="shared" si="73"/>
        <v>11 h 30 à 14 h 30</v>
      </c>
      <c r="D259" s="22">
        <v>25</v>
      </c>
      <c r="E259" s="14">
        <v>50</v>
      </c>
      <c r="F259" s="22">
        <v>35</v>
      </c>
      <c r="G259" s="14">
        <v>41</v>
      </c>
      <c r="H259" s="14">
        <v>46</v>
      </c>
      <c r="I259" s="14">
        <v>45</v>
      </c>
      <c r="J259" s="14">
        <v>50</v>
      </c>
      <c r="K259" s="14">
        <v>28</v>
      </c>
      <c r="L259" s="14">
        <v>25</v>
      </c>
      <c r="M259" s="14">
        <v>24</v>
      </c>
      <c r="N259" s="14">
        <v>25</v>
      </c>
      <c r="O259" s="14">
        <v>25</v>
      </c>
    </row>
    <row r="260" spans="2:15" ht="14" customHeight="1" thickTop="1" thickBot="1" x14ac:dyDescent="0.2">
      <c r="B260" s="18">
        <v>4</v>
      </c>
      <c r="C260" s="102" t="str">
        <f t="shared" si="73"/>
        <v>14 h 30 à 17 h</v>
      </c>
      <c r="D260" s="22">
        <v>20</v>
      </c>
      <c r="E260" s="14">
        <v>29</v>
      </c>
      <c r="F260" s="22">
        <v>20</v>
      </c>
      <c r="G260" s="14">
        <v>21</v>
      </c>
      <c r="H260" s="14">
        <v>20</v>
      </c>
      <c r="I260" s="14">
        <v>25</v>
      </c>
      <c r="J260" s="14">
        <v>30</v>
      </c>
      <c r="K260" s="14">
        <v>38</v>
      </c>
      <c r="L260" s="14">
        <v>35</v>
      </c>
      <c r="M260" s="14">
        <v>34</v>
      </c>
      <c r="N260" s="14">
        <v>32</v>
      </c>
      <c r="O260" s="14">
        <v>35</v>
      </c>
    </row>
    <row r="261" spans="2:15" ht="14" customHeight="1" thickTop="1" thickBot="1" x14ac:dyDescent="0.2">
      <c r="B261" s="18">
        <v>5</v>
      </c>
      <c r="C261" s="102" t="str">
        <f t="shared" si="73"/>
        <v>17 h à 19 h</v>
      </c>
      <c r="D261" s="22">
        <v>25</v>
      </c>
      <c r="E261" s="14">
        <v>19</v>
      </c>
      <c r="F261" s="22">
        <v>35</v>
      </c>
      <c r="G261" s="14">
        <v>41</v>
      </c>
      <c r="H261" s="14">
        <v>11</v>
      </c>
      <c r="I261" s="14">
        <v>40</v>
      </c>
      <c r="J261" s="14">
        <v>16</v>
      </c>
      <c r="K261" s="14">
        <v>28</v>
      </c>
      <c r="L261" s="14">
        <v>25</v>
      </c>
      <c r="M261" s="14">
        <v>24</v>
      </c>
      <c r="N261" s="14">
        <v>25</v>
      </c>
      <c r="O261" s="14">
        <v>25</v>
      </c>
    </row>
    <row r="262" spans="2:15" ht="14" customHeight="1" thickTop="1" thickBot="1" x14ac:dyDescent="0.2">
      <c r="B262" s="18">
        <v>6</v>
      </c>
      <c r="C262" s="102" t="str">
        <f t="shared" si="73"/>
        <v>19 h à 23 h</v>
      </c>
      <c r="D262" s="22">
        <v>10</v>
      </c>
      <c r="E262" s="14">
        <v>29</v>
      </c>
      <c r="F262" s="22">
        <v>19</v>
      </c>
      <c r="G262" s="14">
        <v>11</v>
      </c>
      <c r="H262" s="14">
        <v>10</v>
      </c>
      <c r="I262" s="14">
        <v>15</v>
      </c>
      <c r="J262" s="14">
        <v>40</v>
      </c>
      <c r="K262" s="14">
        <v>21</v>
      </c>
      <c r="L262" s="14">
        <v>25</v>
      </c>
      <c r="M262" s="14">
        <v>24</v>
      </c>
      <c r="N262" s="14">
        <v>22</v>
      </c>
      <c r="O262" s="14">
        <v>25</v>
      </c>
    </row>
    <row r="263" spans="2:15" ht="14" customHeight="1" thickTop="1" thickBot="1" x14ac:dyDescent="0.2">
      <c r="B263" s="18">
        <v>7</v>
      </c>
      <c r="C263" s="102" t="str">
        <f t="shared" si="73"/>
        <v>23 h à 6 h</v>
      </c>
      <c r="D263" s="14">
        <v>0</v>
      </c>
      <c r="E263" s="14">
        <v>0</v>
      </c>
      <c r="F263" s="22">
        <v>0</v>
      </c>
      <c r="G263" s="14">
        <v>0</v>
      </c>
      <c r="H263" s="14">
        <v>0</v>
      </c>
      <c r="I263" s="14">
        <v>0</v>
      </c>
      <c r="J263" s="14">
        <v>0</v>
      </c>
      <c r="K263" s="14">
        <v>0</v>
      </c>
      <c r="L263" s="14">
        <v>0</v>
      </c>
      <c r="M263" s="14">
        <v>0</v>
      </c>
      <c r="N263" s="14">
        <v>0</v>
      </c>
      <c r="O263" s="14">
        <v>0</v>
      </c>
    </row>
    <row r="264" spans="2:15" ht="14" customHeight="1" thickTop="1" thickBot="1" x14ac:dyDescent="0.2">
      <c r="B264" s="18"/>
      <c r="C264" s="16" t="str">
        <f t="shared" ref="C264" si="74">+C255</f>
        <v>Total</v>
      </c>
      <c r="D264" s="24">
        <f t="shared" ref="D264:L264" si="75">+D257+D258+D259+D260+D261+D262+D263</f>
        <v>125</v>
      </c>
      <c r="E264" s="24">
        <f t="shared" si="75"/>
        <v>156</v>
      </c>
      <c r="F264" s="24">
        <f t="shared" si="75"/>
        <v>139</v>
      </c>
      <c r="G264" s="24">
        <f t="shared" si="75"/>
        <v>148</v>
      </c>
      <c r="H264" s="24">
        <f t="shared" si="75"/>
        <v>152</v>
      </c>
      <c r="I264" s="24">
        <f t="shared" si="75"/>
        <v>160</v>
      </c>
      <c r="J264" s="24">
        <f t="shared" si="75"/>
        <v>166</v>
      </c>
      <c r="K264" s="24">
        <f t="shared" si="75"/>
        <v>163</v>
      </c>
      <c r="L264" s="24">
        <f t="shared" si="75"/>
        <v>155</v>
      </c>
      <c r="M264" s="24">
        <f>+M257+M258+M259+M260+M261+M262+M263</f>
        <v>150</v>
      </c>
      <c r="N264" s="24">
        <f>+N257+N258+N259+N260+N261+N262+N263</f>
        <v>145</v>
      </c>
      <c r="O264" s="24">
        <f>+O257+O258+O259+O260+O261+O262+O263</f>
        <v>155</v>
      </c>
    </row>
    <row r="265" spans="2:15" ht="14" customHeight="1" thickTop="1" thickBot="1" x14ac:dyDescent="0.2">
      <c r="B265" s="1262" t="s">
        <v>20</v>
      </c>
      <c r="C265" s="1263"/>
      <c r="D265" s="1263"/>
      <c r="E265" s="1263"/>
      <c r="F265" s="1263"/>
      <c r="G265" s="1263"/>
      <c r="H265" s="1263"/>
      <c r="I265" s="1263"/>
      <c r="J265" s="1263"/>
      <c r="K265" s="1263"/>
      <c r="L265" s="1263"/>
      <c r="M265" s="1263"/>
      <c r="N265" s="1263"/>
      <c r="O265" s="1264"/>
    </row>
    <row r="266" spans="2:15" ht="14" customHeight="1" thickTop="1" thickBot="1" x14ac:dyDescent="0.2">
      <c r="B266" s="128">
        <f>+'Calendrier 2021'!B37</f>
        <v>5</v>
      </c>
      <c r="C266" s="129" t="str">
        <f>+'Calendrier 2021'!C37</f>
        <v>Lundi</v>
      </c>
      <c r="D266" s="130">
        <f>+'Calendrier 2021'!D37</f>
        <v>44221</v>
      </c>
      <c r="E266" s="130" t="s">
        <v>2</v>
      </c>
      <c r="F266" s="130">
        <f>+'Calendrier 2021'!F37</f>
        <v>44284</v>
      </c>
      <c r="G266" s="130">
        <f>+'Calendrier 2021'!G37</f>
        <v>44312</v>
      </c>
      <c r="H266" s="130">
        <f>+'Calendrier 2021'!H37</f>
        <v>44340</v>
      </c>
      <c r="I266" s="130">
        <f>+'Calendrier 2021'!I37</f>
        <v>44375</v>
      </c>
      <c r="J266" s="130">
        <f>+'Calendrier 2021'!J37</f>
        <v>44403</v>
      </c>
      <c r="K266" s="130">
        <f>+'Calendrier 2021'!K37</f>
        <v>44431</v>
      </c>
      <c r="L266" s="130">
        <f>+'Calendrier 2021'!L37</f>
        <v>44466</v>
      </c>
      <c r="M266" s="130">
        <f>+'Calendrier 2021'!M37</f>
        <v>44494</v>
      </c>
      <c r="N266" s="130">
        <f>+'Calendrier 2021'!N37</f>
        <v>44529</v>
      </c>
      <c r="O266" s="131" t="str">
        <f>+'Calendrier 2021'!O37</f>
        <v>27 dec 2021</v>
      </c>
    </row>
    <row r="267" spans="2:15" ht="14" customHeight="1" thickTop="1" x14ac:dyDescent="0.15">
      <c r="B267" s="11">
        <v>1</v>
      </c>
      <c r="C267" s="100" t="str">
        <f t="shared" ref="C267:C273" si="76">C257</f>
        <v>6 h à 9 h 30</v>
      </c>
      <c r="D267" s="12">
        <v>20</v>
      </c>
      <c r="E267" s="12">
        <v>0</v>
      </c>
      <c r="F267" s="12">
        <v>20</v>
      </c>
      <c r="G267" s="12">
        <v>20</v>
      </c>
      <c r="H267" s="12">
        <v>20</v>
      </c>
      <c r="I267" s="12">
        <v>20</v>
      </c>
      <c r="J267" s="12">
        <v>20</v>
      </c>
      <c r="K267" s="12">
        <v>20</v>
      </c>
      <c r="L267" s="12">
        <v>20</v>
      </c>
      <c r="M267" s="12">
        <v>20</v>
      </c>
      <c r="N267" s="12">
        <v>20</v>
      </c>
      <c r="O267" s="12">
        <v>20</v>
      </c>
    </row>
    <row r="268" spans="2:15" ht="14" customHeight="1" x14ac:dyDescent="0.15">
      <c r="B268" s="13">
        <v>2</v>
      </c>
      <c r="C268" s="102" t="str">
        <f t="shared" si="76"/>
        <v>9 h 30 à 11 h 30</v>
      </c>
      <c r="D268" s="310">
        <v>25</v>
      </c>
      <c r="E268" s="14">
        <v>0</v>
      </c>
      <c r="F268" s="22">
        <v>10</v>
      </c>
      <c r="G268" s="14">
        <v>14</v>
      </c>
      <c r="H268" s="14">
        <v>45</v>
      </c>
      <c r="I268" s="14">
        <v>15</v>
      </c>
      <c r="J268" s="14">
        <v>10</v>
      </c>
      <c r="K268" s="14">
        <v>28</v>
      </c>
      <c r="L268" s="14">
        <v>25</v>
      </c>
      <c r="M268" s="14">
        <v>24</v>
      </c>
      <c r="N268" s="14">
        <v>19</v>
      </c>
      <c r="O268" s="14">
        <v>25</v>
      </c>
    </row>
    <row r="269" spans="2:15" ht="14" customHeight="1" x14ac:dyDescent="0.15">
      <c r="B269" s="13">
        <v>3</v>
      </c>
      <c r="C269" s="102" t="str">
        <f t="shared" si="76"/>
        <v>11 h 30 à 14 h 30</v>
      </c>
      <c r="D269" s="22">
        <v>25</v>
      </c>
      <c r="E269" s="14">
        <v>0</v>
      </c>
      <c r="F269" s="22">
        <v>35</v>
      </c>
      <c r="G269" s="14">
        <v>41</v>
      </c>
      <c r="H269" s="14">
        <v>46</v>
      </c>
      <c r="I269" s="14">
        <v>45</v>
      </c>
      <c r="J269" s="14">
        <v>40</v>
      </c>
      <c r="K269" s="14">
        <v>28</v>
      </c>
      <c r="L269" s="14">
        <v>25</v>
      </c>
      <c r="M269" s="14">
        <v>24</v>
      </c>
      <c r="N269" s="14">
        <v>20</v>
      </c>
      <c r="O269" s="14">
        <v>25</v>
      </c>
    </row>
    <row r="270" spans="2:15" ht="14" customHeight="1" x14ac:dyDescent="0.15">
      <c r="B270" s="13">
        <v>4</v>
      </c>
      <c r="C270" s="102" t="str">
        <f t="shared" si="76"/>
        <v>14 h 30 à 17 h</v>
      </c>
      <c r="D270" s="22">
        <v>10</v>
      </c>
      <c r="E270" s="14">
        <v>0</v>
      </c>
      <c r="F270" s="22">
        <v>10</v>
      </c>
      <c r="G270" s="14">
        <v>11</v>
      </c>
      <c r="H270" s="14">
        <v>10</v>
      </c>
      <c r="I270" s="14">
        <v>15</v>
      </c>
      <c r="J270" s="14">
        <v>20</v>
      </c>
      <c r="K270" s="14">
        <v>28</v>
      </c>
      <c r="L270" s="14">
        <v>25</v>
      </c>
      <c r="M270" s="14">
        <v>24</v>
      </c>
      <c r="N270" s="14">
        <v>19</v>
      </c>
      <c r="O270" s="14">
        <v>25</v>
      </c>
    </row>
    <row r="271" spans="2:15" ht="14" customHeight="1" x14ac:dyDescent="0.15">
      <c r="B271" s="13">
        <v>5</v>
      </c>
      <c r="C271" s="102" t="str">
        <f t="shared" si="76"/>
        <v>17 h à 19 h</v>
      </c>
      <c r="D271" s="22">
        <v>25</v>
      </c>
      <c r="E271" s="14">
        <v>0</v>
      </c>
      <c r="F271" s="22">
        <v>35</v>
      </c>
      <c r="G271" s="14">
        <v>31</v>
      </c>
      <c r="H271" s="14">
        <v>11</v>
      </c>
      <c r="I271" s="14">
        <v>40</v>
      </c>
      <c r="J271" s="14">
        <v>16</v>
      </c>
      <c r="K271" s="14">
        <v>28</v>
      </c>
      <c r="L271" s="14">
        <v>25</v>
      </c>
      <c r="M271" s="14">
        <v>24</v>
      </c>
      <c r="N271" s="14">
        <v>20</v>
      </c>
      <c r="O271" s="14">
        <v>25</v>
      </c>
    </row>
    <row r="272" spans="2:15" ht="14" customHeight="1" x14ac:dyDescent="0.15">
      <c r="B272" s="13">
        <v>6</v>
      </c>
      <c r="C272" s="102" t="str">
        <f t="shared" si="76"/>
        <v>19 h à 23 h</v>
      </c>
      <c r="D272" s="22">
        <v>10</v>
      </c>
      <c r="E272" s="14">
        <v>0</v>
      </c>
      <c r="F272" s="22">
        <v>19</v>
      </c>
      <c r="G272" s="14">
        <v>11</v>
      </c>
      <c r="H272" s="14">
        <v>10</v>
      </c>
      <c r="I272" s="14">
        <v>15</v>
      </c>
      <c r="J272" s="14">
        <v>40</v>
      </c>
      <c r="K272" s="14">
        <v>21</v>
      </c>
      <c r="L272" s="14">
        <v>25</v>
      </c>
      <c r="M272" s="14">
        <v>24</v>
      </c>
      <c r="N272" s="14">
        <v>19</v>
      </c>
      <c r="O272" s="14">
        <v>25</v>
      </c>
    </row>
    <row r="273" spans="2:17" ht="14" customHeight="1" x14ac:dyDescent="0.15">
      <c r="B273" s="13">
        <v>7</v>
      </c>
      <c r="C273" s="102" t="str">
        <f t="shared" si="76"/>
        <v>23 h à 6 h</v>
      </c>
      <c r="D273" s="14">
        <v>0</v>
      </c>
      <c r="E273" s="14">
        <v>0</v>
      </c>
      <c r="F273" s="22">
        <v>0</v>
      </c>
      <c r="G273" s="14">
        <v>0</v>
      </c>
      <c r="H273" s="14">
        <v>0</v>
      </c>
      <c r="I273" s="14">
        <v>0</v>
      </c>
      <c r="J273" s="14">
        <v>0</v>
      </c>
      <c r="K273" s="14">
        <v>0</v>
      </c>
      <c r="L273" s="14">
        <v>0</v>
      </c>
      <c r="M273" s="14">
        <v>0</v>
      </c>
      <c r="N273" s="14">
        <v>0</v>
      </c>
      <c r="O273" s="14">
        <v>0</v>
      </c>
    </row>
    <row r="274" spans="2:17" ht="14" customHeight="1" thickBot="1" x14ac:dyDescent="0.2">
      <c r="B274" s="15"/>
      <c r="C274" s="16" t="str">
        <f>+C264</f>
        <v>Total</v>
      </c>
      <c r="D274" s="24">
        <f t="shared" ref="D274:L274" si="77">+D267+D268+D269+D270+D271+D272+D273</f>
        <v>115</v>
      </c>
      <c r="E274" s="24">
        <f t="shared" si="77"/>
        <v>0</v>
      </c>
      <c r="F274" s="24">
        <f t="shared" si="77"/>
        <v>129</v>
      </c>
      <c r="G274" s="24">
        <f t="shared" si="77"/>
        <v>128</v>
      </c>
      <c r="H274" s="24">
        <f t="shared" si="77"/>
        <v>142</v>
      </c>
      <c r="I274" s="24">
        <f t="shared" si="77"/>
        <v>150</v>
      </c>
      <c r="J274" s="24">
        <f t="shared" si="77"/>
        <v>146</v>
      </c>
      <c r="K274" s="24">
        <f t="shared" si="77"/>
        <v>153</v>
      </c>
      <c r="L274" s="24">
        <f t="shared" si="77"/>
        <v>145</v>
      </c>
      <c r="M274" s="24">
        <f>+M267+M268+M269+M270+M271+M272+M273</f>
        <v>140</v>
      </c>
      <c r="N274" s="24">
        <f>+N267+N268+N269+N270+N271+N272+N273</f>
        <v>117</v>
      </c>
      <c r="O274" s="24">
        <f>+O267+O268+O269+O270+O271+O272+O273</f>
        <v>145</v>
      </c>
    </row>
    <row r="275" spans="2:17" ht="14" customHeight="1" thickTop="1" thickBot="1" x14ac:dyDescent="0.2">
      <c r="B275" s="124" t="s">
        <v>2</v>
      </c>
      <c r="C275" s="125" t="str">
        <f>+'Calendrier 2021'!C38</f>
        <v>Mardi</v>
      </c>
      <c r="D275" s="77">
        <f>+'Calendrier 2021'!D38</f>
        <v>44222</v>
      </c>
      <c r="E275" s="77" t="s">
        <v>2</v>
      </c>
      <c r="F275" s="77">
        <f>+'Calendrier 2021'!F38</f>
        <v>44285</v>
      </c>
      <c r="G275" s="77">
        <f>+'Calendrier 2021'!G38</f>
        <v>44313</v>
      </c>
      <c r="H275" s="77">
        <f>+'Calendrier 2021'!H38</f>
        <v>44341</v>
      </c>
      <c r="I275" s="77">
        <f>+'Calendrier 2021'!I38</f>
        <v>44376</v>
      </c>
      <c r="J275" s="77">
        <f>+'Calendrier 2021'!J38</f>
        <v>44404</v>
      </c>
      <c r="K275" s="77">
        <f>+'Calendrier 2021'!K38</f>
        <v>44432</v>
      </c>
      <c r="L275" s="77">
        <f>+'Calendrier 2021'!L38</f>
        <v>44467</v>
      </c>
      <c r="M275" s="77">
        <f>+'Calendrier 2021'!M38</f>
        <v>44495</v>
      </c>
      <c r="N275" s="77">
        <f>+'Calendrier 2021'!N38</f>
        <v>44530</v>
      </c>
      <c r="O275" s="78" t="str">
        <f>+'Calendrier 2021'!O38</f>
        <v>28 dec 2021</v>
      </c>
    </row>
    <row r="276" spans="2:17" ht="14" customHeight="1" thickTop="1" thickBot="1" x14ac:dyDescent="0.2">
      <c r="B276" s="18">
        <v>1</v>
      </c>
      <c r="C276" s="100" t="str">
        <f t="shared" ref="C276:C282" si="78">C267</f>
        <v>6 h à 9 h 30</v>
      </c>
      <c r="D276" s="12">
        <v>20</v>
      </c>
      <c r="E276" s="60">
        <v>0</v>
      </c>
      <c r="F276" s="12">
        <v>20</v>
      </c>
      <c r="G276" s="12">
        <v>20</v>
      </c>
      <c r="H276" s="12">
        <v>20</v>
      </c>
      <c r="I276" s="12">
        <v>20</v>
      </c>
      <c r="J276" s="12">
        <v>20</v>
      </c>
      <c r="K276" s="12">
        <v>20</v>
      </c>
      <c r="L276" s="12">
        <v>20</v>
      </c>
      <c r="M276" s="12">
        <v>20</v>
      </c>
      <c r="N276" s="12">
        <v>20</v>
      </c>
      <c r="O276" s="12">
        <v>20</v>
      </c>
    </row>
    <row r="277" spans="2:17" ht="14" customHeight="1" thickTop="1" thickBot="1" x14ac:dyDescent="0.2">
      <c r="B277" s="121">
        <v>2</v>
      </c>
      <c r="C277" s="102" t="str">
        <f t="shared" si="78"/>
        <v>9 h 30 à 11 h 30</v>
      </c>
      <c r="D277" s="310">
        <v>25</v>
      </c>
      <c r="E277" s="61">
        <v>0</v>
      </c>
      <c r="F277" s="22">
        <v>10</v>
      </c>
      <c r="G277" s="14">
        <v>14</v>
      </c>
      <c r="H277" s="14">
        <v>45</v>
      </c>
      <c r="I277" s="14">
        <v>15</v>
      </c>
      <c r="J277" s="14">
        <v>10</v>
      </c>
      <c r="K277" s="14">
        <v>28</v>
      </c>
      <c r="L277" s="14">
        <v>25</v>
      </c>
      <c r="M277" s="14">
        <v>24</v>
      </c>
      <c r="N277" s="14">
        <v>21</v>
      </c>
      <c r="O277" s="14">
        <v>25</v>
      </c>
    </row>
    <row r="278" spans="2:17" ht="14" customHeight="1" thickTop="1" thickBot="1" x14ac:dyDescent="0.2">
      <c r="B278" s="121">
        <v>3</v>
      </c>
      <c r="C278" s="102" t="str">
        <f t="shared" si="78"/>
        <v>11 h 30 à 14 h 30</v>
      </c>
      <c r="D278" s="22">
        <v>25</v>
      </c>
      <c r="E278" s="61">
        <v>0</v>
      </c>
      <c r="F278" s="22">
        <v>35</v>
      </c>
      <c r="G278" s="14">
        <v>41</v>
      </c>
      <c r="H278" s="14">
        <v>46</v>
      </c>
      <c r="I278" s="14">
        <v>45</v>
      </c>
      <c r="J278" s="14">
        <v>40</v>
      </c>
      <c r="K278" s="14">
        <v>28</v>
      </c>
      <c r="L278" s="14">
        <v>25</v>
      </c>
      <c r="M278" s="14">
        <v>24</v>
      </c>
      <c r="N278" s="14">
        <v>25</v>
      </c>
      <c r="O278" s="14">
        <v>25</v>
      </c>
    </row>
    <row r="279" spans="2:17" ht="14" customHeight="1" thickTop="1" thickBot="1" x14ac:dyDescent="0.2">
      <c r="B279" s="121">
        <v>4</v>
      </c>
      <c r="C279" s="102" t="str">
        <f t="shared" si="78"/>
        <v>14 h 30 à 17 h</v>
      </c>
      <c r="D279" s="22">
        <v>10</v>
      </c>
      <c r="E279" s="61">
        <v>0</v>
      </c>
      <c r="F279" s="22">
        <v>10</v>
      </c>
      <c r="G279" s="14">
        <v>11</v>
      </c>
      <c r="H279" s="14">
        <v>10</v>
      </c>
      <c r="I279" s="14">
        <v>15</v>
      </c>
      <c r="J279" s="14">
        <v>20</v>
      </c>
      <c r="K279" s="14">
        <v>28</v>
      </c>
      <c r="L279" s="14">
        <v>25</v>
      </c>
      <c r="M279" s="14">
        <v>24</v>
      </c>
      <c r="N279" s="14">
        <v>22</v>
      </c>
      <c r="O279" s="14">
        <v>25</v>
      </c>
    </row>
    <row r="280" spans="2:17" ht="14" customHeight="1" thickTop="1" thickBot="1" x14ac:dyDescent="0.2">
      <c r="B280" s="121">
        <v>5</v>
      </c>
      <c r="C280" s="102" t="str">
        <f t="shared" si="78"/>
        <v>17 h à 19 h</v>
      </c>
      <c r="D280" s="22">
        <v>25</v>
      </c>
      <c r="E280" s="61">
        <v>0</v>
      </c>
      <c r="F280" s="22">
        <v>35</v>
      </c>
      <c r="G280" s="14">
        <v>31</v>
      </c>
      <c r="H280" s="14">
        <v>11</v>
      </c>
      <c r="I280" s="14">
        <v>40</v>
      </c>
      <c r="J280" s="14">
        <v>16</v>
      </c>
      <c r="K280" s="14">
        <v>28</v>
      </c>
      <c r="L280" s="14">
        <v>25</v>
      </c>
      <c r="M280" s="14">
        <v>24</v>
      </c>
      <c r="N280" s="14">
        <v>27</v>
      </c>
      <c r="O280" s="14">
        <v>25</v>
      </c>
    </row>
    <row r="281" spans="2:17" ht="14" customHeight="1" thickTop="1" thickBot="1" x14ac:dyDescent="0.2">
      <c r="B281" s="121">
        <v>6</v>
      </c>
      <c r="C281" s="102" t="str">
        <f t="shared" si="78"/>
        <v>19 h à 23 h</v>
      </c>
      <c r="D281" s="22">
        <v>10</v>
      </c>
      <c r="E281" s="61">
        <v>0</v>
      </c>
      <c r="F281" s="22">
        <v>19</v>
      </c>
      <c r="G281" s="14">
        <v>11</v>
      </c>
      <c r="H281" s="14">
        <v>10</v>
      </c>
      <c r="I281" s="14">
        <v>15</v>
      </c>
      <c r="J281" s="14">
        <v>40</v>
      </c>
      <c r="K281" s="14">
        <v>21</v>
      </c>
      <c r="L281" s="14">
        <v>25</v>
      </c>
      <c r="M281" s="14">
        <v>24</v>
      </c>
      <c r="N281" s="14">
        <v>22</v>
      </c>
      <c r="O281" s="14">
        <v>25</v>
      </c>
    </row>
    <row r="282" spans="2:17" ht="14" customHeight="1" thickTop="1" thickBot="1" x14ac:dyDescent="0.2">
      <c r="B282" s="121">
        <v>7</v>
      </c>
      <c r="C282" s="102" t="str">
        <f t="shared" si="78"/>
        <v>23 h à 6 h</v>
      </c>
      <c r="D282" s="14">
        <v>0</v>
      </c>
      <c r="E282" s="61">
        <v>0</v>
      </c>
      <c r="F282" s="22">
        <v>0</v>
      </c>
      <c r="G282" s="14">
        <v>0</v>
      </c>
      <c r="H282" s="14">
        <v>0</v>
      </c>
      <c r="I282" s="14">
        <v>0</v>
      </c>
      <c r="J282" s="14">
        <v>0</v>
      </c>
      <c r="K282" s="14">
        <v>0</v>
      </c>
      <c r="L282" s="14">
        <v>0</v>
      </c>
      <c r="M282" s="14">
        <v>0</v>
      </c>
      <c r="N282" s="14">
        <v>0</v>
      </c>
      <c r="O282" s="14">
        <v>0</v>
      </c>
      <c r="P282" s="27" t="s">
        <v>2</v>
      </c>
      <c r="Q282" s="28"/>
    </row>
    <row r="283" spans="2:17" ht="14" customHeight="1" thickTop="1" thickBot="1" x14ac:dyDescent="0.2">
      <c r="B283" s="19"/>
      <c r="C283" s="21" t="str">
        <f t="shared" ref="C283" si="79">+C274</f>
        <v>Total</v>
      </c>
      <c r="D283" s="24">
        <f t="shared" ref="D283:L283" si="80">+D276+D277+D278+D279+D280+D281+D282</f>
        <v>115</v>
      </c>
      <c r="E283" s="59">
        <f t="shared" si="80"/>
        <v>0</v>
      </c>
      <c r="F283" s="24">
        <f t="shared" si="80"/>
        <v>129</v>
      </c>
      <c r="G283" s="24">
        <f t="shared" si="80"/>
        <v>128</v>
      </c>
      <c r="H283" s="24">
        <f t="shared" si="80"/>
        <v>142</v>
      </c>
      <c r="I283" s="24">
        <f t="shared" si="80"/>
        <v>150</v>
      </c>
      <c r="J283" s="24">
        <f t="shared" si="80"/>
        <v>146</v>
      </c>
      <c r="K283" s="24">
        <f t="shared" si="80"/>
        <v>153</v>
      </c>
      <c r="L283" s="24">
        <f t="shared" si="80"/>
        <v>145</v>
      </c>
      <c r="M283" s="24">
        <f>+M276+M277+M278+M279+M280+M281+M282</f>
        <v>140</v>
      </c>
      <c r="N283" s="24">
        <f>+N276+N277+N278+N279+N280+N281+N282</f>
        <v>137</v>
      </c>
      <c r="O283" s="24">
        <f>+O276+O277+O278+O279+O280+O281+O282</f>
        <v>145</v>
      </c>
    </row>
    <row r="284" spans="2:17" ht="14" customHeight="1" thickTop="1" thickBot="1" x14ac:dyDescent="0.2">
      <c r="B284" s="124" t="s">
        <v>2</v>
      </c>
      <c r="C284" s="125" t="str">
        <f>+'Calendrier 2021'!C39</f>
        <v>Mercredi</v>
      </c>
      <c r="D284" s="77">
        <f>+'Calendrier 2021'!D39</f>
        <v>44223</v>
      </c>
      <c r="E284" s="77" t="s">
        <v>2</v>
      </c>
      <c r="F284" s="77">
        <f>+'Calendrier 2021'!F39</f>
        <v>44286</v>
      </c>
      <c r="G284" s="77">
        <f>+'Calendrier 2021'!G39</f>
        <v>44314</v>
      </c>
      <c r="H284" s="77">
        <f>+'Calendrier 2021'!H39</f>
        <v>44342</v>
      </c>
      <c r="I284" s="77">
        <f>+'Calendrier 2021'!I39</f>
        <v>44377</v>
      </c>
      <c r="J284" s="77">
        <f>+'Calendrier 2021'!J39</f>
        <v>44405</v>
      </c>
      <c r="K284" s="77">
        <f>+'Calendrier 2021'!K39</f>
        <v>44433</v>
      </c>
      <c r="L284" s="77">
        <f>+'Calendrier 2021'!L39</f>
        <v>44468</v>
      </c>
      <c r="M284" s="77">
        <f>+'Calendrier 2021'!M39</f>
        <v>44496</v>
      </c>
      <c r="N284" s="77" t="s">
        <v>2</v>
      </c>
      <c r="O284" s="78" t="str">
        <f>+'Calendrier 2021'!O39</f>
        <v>29 dec 2021</v>
      </c>
    </row>
    <row r="285" spans="2:17" ht="14" customHeight="1" thickTop="1" thickBot="1" x14ac:dyDescent="0.2">
      <c r="B285" s="18">
        <v>1</v>
      </c>
      <c r="C285" s="100" t="str">
        <f t="shared" ref="C285:C291" si="81">C276</f>
        <v>6 h à 9 h 30</v>
      </c>
      <c r="D285" s="12">
        <v>20</v>
      </c>
      <c r="E285" s="12">
        <v>0</v>
      </c>
      <c r="F285" s="12">
        <v>20</v>
      </c>
      <c r="G285" s="12">
        <v>20</v>
      </c>
      <c r="H285" s="12">
        <v>20</v>
      </c>
      <c r="I285" s="12">
        <v>20</v>
      </c>
      <c r="J285" s="12">
        <v>20</v>
      </c>
      <c r="K285" s="12">
        <v>20</v>
      </c>
      <c r="L285" s="12">
        <v>20</v>
      </c>
      <c r="M285" s="12">
        <v>20</v>
      </c>
      <c r="N285" s="12">
        <v>0</v>
      </c>
      <c r="O285" s="12">
        <v>20</v>
      </c>
    </row>
    <row r="286" spans="2:17" ht="14" customHeight="1" thickTop="1" thickBot="1" x14ac:dyDescent="0.2">
      <c r="B286" s="121">
        <v>2</v>
      </c>
      <c r="C286" s="102" t="str">
        <f t="shared" si="81"/>
        <v>9 h 30 à 11 h 30</v>
      </c>
      <c r="D286" s="310">
        <v>25</v>
      </c>
      <c r="E286" s="14">
        <v>0</v>
      </c>
      <c r="F286" s="22">
        <v>10</v>
      </c>
      <c r="G286" s="14">
        <v>14</v>
      </c>
      <c r="H286" s="14">
        <v>45</v>
      </c>
      <c r="I286" s="14">
        <v>15</v>
      </c>
      <c r="J286" s="14">
        <v>10</v>
      </c>
      <c r="K286" s="14">
        <v>28</v>
      </c>
      <c r="L286" s="14">
        <v>25</v>
      </c>
      <c r="M286" s="14">
        <v>24</v>
      </c>
      <c r="N286" s="14">
        <v>0</v>
      </c>
      <c r="O286" s="14">
        <v>25</v>
      </c>
    </row>
    <row r="287" spans="2:17" ht="14" customHeight="1" thickTop="1" thickBot="1" x14ac:dyDescent="0.2">
      <c r="B287" s="121">
        <v>3</v>
      </c>
      <c r="C287" s="102" t="str">
        <f t="shared" si="81"/>
        <v>11 h 30 à 14 h 30</v>
      </c>
      <c r="D287" s="22">
        <v>25</v>
      </c>
      <c r="E287" s="14">
        <v>0</v>
      </c>
      <c r="F287" s="22">
        <v>35</v>
      </c>
      <c r="G287" s="14">
        <v>41</v>
      </c>
      <c r="H287" s="14">
        <v>46</v>
      </c>
      <c r="I287" s="14">
        <v>45</v>
      </c>
      <c r="J287" s="14">
        <v>40</v>
      </c>
      <c r="K287" s="14">
        <v>28</v>
      </c>
      <c r="L287" s="14">
        <v>37</v>
      </c>
      <c r="M287" s="14">
        <v>24</v>
      </c>
      <c r="N287" s="14">
        <v>0</v>
      </c>
      <c r="O287" s="14">
        <v>25</v>
      </c>
    </row>
    <row r="288" spans="2:17" ht="14" customHeight="1" thickTop="1" thickBot="1" x14ac:dyDescent="0.2">
      <c r="B288" s="121">
        <v>4</v>
      </c>
      <c r="C288" s="102" t="str">
        <f t="shared" si="81"/>
        <v>14 h 30 à 17 h</v>
      </c>
      <c r="D288" s="22">
        <v>10</v>
      </c>
      <c r="E288" s="14">
        <v>0</v>
      </c>
      <c r="F288" s="22">
        <v>24</v>
      </c>
      <c r="G288" s="14">
        <v>11</v>
      </c>
      <c r="H288" s="14">
        <v>10</v>
      </c>
      <c r="I288" s="14">
        <v>27</v>
      </c>
      <c r="J288" s="14">
        <v>20</v>
      </c>
      <c r="K288" s="14">
        <v>28</v>
      </c>
      <c r="L288" s="14">
        <v>25</v>
      </c>
      <c r="M288" s="14">
        <v>24</v>
      </c>
      <c r="N288" s="14">
        <v>0</v>
      </c>
      <c r="O288" s="14">
        <v>25</v>
      </c>
    </row>
    <row r="289" spans="2:17" ht="14" customHeight="1" thickTop="1" thickBot="1" x14ac:dyDescent="0.2">
      <c r="B289" s="121">
        <v>5</v>
      </c>
      <c r="C289" s="102" t="str">
        <f t="shared" si="81"/>
        <v>17 h à 19 h</v>
      </c>
      <c r="D289" s="22">
        <v>25</v>
      </c>
      <c r="E289" s="14">
        <v>0</v>
      </c>
      <c r="F289" s="22">
        <v>35</v>
      </c>
      <c r="G289" s="14">
        <v>31</v>
      </c>
      <c r="H289" s="14">
        <v>11</v>
      </c>
      <c r="I289" s="14">
        <v>40</v>
      </c>
      <c r="J289" s="14">
        <v>16</v>
      </c>
      <c r="K289" s="14">
        <v>28</v>
      </c>
      <c r="L289" s="14">
        <v>25</v>
      </c>
      <c r="M289" s="14">
        <v>24</v>
      </c>
      <c r="N289" s="14">
        <v>0</v>
      </c>
      <c r="O289" s="14">
        <v>25</v>
      </c>
    </row>
    <row r="290" spans="2:17" ht="14" customHeight="1" thickTop="1" thickBot="1" x14ac:dyDescent="0.2">
      <c r="B290" s="121">
        <v>6</v>
      </c>
      <c r="C290" s="102" t="str">
        <f t="shared" si="81"/>
        <v>19 h à 23 h</v>
      </c>
      <c r="D290" s="22">
        <v>10</v>
      </c>
      <c r="E290" s="14">
        <v>0</v>
      </c>
      <c r="F290" s="22">
        <v>19</v>
      </c>
      <c r="G290" s="14">
        <v>11</v>
      </c>
      <c r="H290" s="14">
        <v>10</v>
      </c>
      <c r="I290" s="14">
        <v>27</v>
      </c>
      <c r="J290" s="14">
        <v>40</v>
      </c>
      <c r="K290" s="14">
        <v>21</v>
      </c>
      <c r="L290" s="14">
        <v>25</v>
      </c>
      <c r="M290" s="14">
        <v>24</v>
      </c>
      <c r="N290" s="14">
        <v>0</v>
      </c>
      <c r="O290" s="14">
        <v>25</v>
      </c>
    </row>
    <row r="291" spans="2:17" ht="14" customHeight="1" thickTop="1" thickBot="1" x14ac:dyDescent="0.2">
      <c r="B291" s="121">
        <v>7</v>
      </c>
      <c r="C291" s="102" t="str">
        <f t="shared" si="81"/>
        <v>23 h à 6 h</v>
      </c>
      <c r="D291" s="14">
        <v>0</v>
      </c>
      <c r="E291" s="14">
        <v>0</v>
      </c>
      <c r="F291" s="22">
        <v>0</v>
      </c>
      <c r="G291" s="14">
        <v>0</v>
      </c>
      <c r="H291" s="14">
        <v>0</v>
      </c>
      <c r="I291" s="14">
        <v>0</v>
      </c>
      <c r="J291" s="14">
        <v>0</v>
      </c>
      <c r="K291" s="14">
        <v>0</v>
      </c>
      <c r="L291" s="14">
        <v>0</v>
      </c>
      <c r="M291" s="14">
        <v>0</v>
      </c>
      <c r="N291" s="14">
        <v>0</v>
      </c>
      <c r="O291" s="14">
        <v>0</v>
      </c>
    </row>
    <row r="292" spans="2:17" ht="14" customHeight="1" thickTop="1" thickBot="1" x14ac:dyDescent="0.2">
      <c r="B292" s="19"/>
      <c r="C292" s="21" t="str">
        <f t="shared" ref="C292" si="82">+C274</f>
        <v>Total</v>
      </c>
      <c r="D292" s="24">
        <f t="shared" ref="D292:L292" si="83">+D285+D286+D287+D288+D289+D290+D291</f>
        <v>115</v>
      </c>
      <c r="E292" s="24">
        <f t="shared" si="83"/>
        <v>0</v>
      </c>
      <c r="F292" s="24">
        <f t="shared" si="83"/>
        <v>143</v>
      </c>
      <c r="G292" s="24">
        <f t="shared" si="83"/>
        <v>128</v>
      </c>
      <c r="H292" s="24">
        <f t="shared" si="83"/>
        <v>142</v>
      </c>
      <c r="I292" s="24">
        <f t="shared" si="83"/>
        <v>174</v>
      </c>
      <c r="J292" s="24">
        <f t="shared" si="83"/>
        <v>146</v>
      </c>
      <c r="K292" s="24">
        <f t="shared" si="83"/>
        <v>153</v>
      </c>
      <c r="L292" s="24">
        <f t="shared" si="83"/>
        <v>157</v>
      </c>
      <c r="M292" s="24">
        <f>+M285+M286+M287+M288+M289+M290+M291</f>
        <v>140</v>
      </c>
      <c r="N292" s="24">
        <f>+N285+N286+N287+N288+N289+N290+N291</f>
        <v>0</v>
      </c>
      <c r="O292" s="24">
        <f>+O285+O286+O287+O288+O289+O290+O291</f>
        <v>145</v>
      </c>
    </row>
    <row r="293" spans="2:17" ht="14" customHeight="1" thickTop="1" thickBot="1" x14ac:dyDescent="0.2">
      <c r="B293" s="124" t="s">
        <v>2</v>
      </c>
      <c r="C293" s="125" t="str">
        <f>+'Calendrier 2021'!C40</f>
        <v>Jeudi</v>
      </c>
      <c r="D293" s="77">
        <f>+'Calendrier 2021'!D40</f>
        <v>44224</v>
      </c>
      <c r="E293" s="77" t="s">
        <v>2</v>
      </c>
      <c r="F293" s="77" t="s">
        <v>2</v>
      </c>
      <c r="G293" s="77">
        <f>+'Calendrier 2021'!G40</f>
        <v>44315</v>
      </c>
      <c r="H293" s="77">
        <f>'Calendrier 2021'!H40</f>
        <v>44343</v>
      </c>
      <c r="I293" s="77" t="s">
        <v>126</v>
      </c>
      <c r="J293" s="77">
        <f>+'Calendrier 2021'!J40</f>
        <v>44406</v>
      </c>
      <c r="K293" s="77">
        <f>+'Calendrier 2021'!K40</f>
        <v>44434</v>
      </c>
      <c r="L293" s="77">
        <f>+'Calendrier 2021'!L40</f>
        <v>44469</v>
      </c>
      <c r="M293" s="77">
        <f>+'Calendrier 2021'!M40</f>
        <v>44497</v>
      </c>
      <c r="N293" s="77" t="s">
        <v>2</v>
      </c>
      <c r="O293" s="78" t="str">
        <f>+'Calendrier 2021'!O40</f>
        <v>30 dec 2021</v>
      </c>
    </row>
    <row r="294" spans="2:17" ht="14" customHeight="1" thickTop="1" thickBot="1" x14ac:dyDescent="0.2">
      <c r="B294" s="18">
        <v>1</v>
      </c>
      <c r="C294" s="100" t="str">
        <f t="shared" ref="C294:C300" si="84">C285</f>
        <v>6 h à 9 h 30</v>
      </c>
      <c r="D294" s="12">
        <v>20</v>
      </c>
      <c r="E294" s="12">
        <v>0</v>
      </c>
      <c r="F294" s="12">
        <v>0</v>
      </c>
      <c r="G294" s="12">
        <v>0</v>
      </c>
      <c r="H294" s="12">
        <v>20</v>
      </c>
      <c r="I294" s="12">
        <v>0</v>
      </c>
      <c r="J294" s="12">
        <v>20</v>
      </c>
      <c r="K294" s="12">
        <v>20</v>
      </c>
      <c r="L294" s="12">
        <v>20</v>
      </c>
      <c r="M294" s="12">
        <v>20</v>
      </c>
      <c r="N294" s="12">
        <v>0</v>
      </c>
      <c r="O294" s="12">
        <v>20</v>
      </c>
    </row>
    <row r="295" spans="2:17" ht="14" customHeight="1" thickTop="1" thickBot="1" x14ac:dyDescent="0.2">
      <c r="B295" s="121">
        <v>2</v>
      </c>
      <c r="C295" s="102" t="str">
        <f t="shared" si="84"/>
        <v>9 h 30 à 11 h 30</v>
      </c>
      <c r="D295" s="310">
        <v>25</v>
      </c>
      <c r="E295" s="14">
        <v>0</v>
      </c>
      <c r="F295" s="14">
        <v>0</v>
      </c>
      <c r="G295" s="14">
        <v>14</v>
      </c>
      <c r="H295" s="22">
        <v>45</v>
      </c>
      <c r="I295" s="14">
        <v>0</v>
      </c>
      <c r="J295" s="14">
        <v>10</v>
      </c>
      <c r="K295" s="14">
        <v>28</v>
      </c>
      <c r="L295" s="14">
        <v>25</v>
      </c>
      <c r="M295" s="14">
        <v>24</v>
      </c>
      <c r="N295" s="14">
        <v>0</v>
      </c>
      <c r="O295" s="14">
        <v>25</v>
      </c>
    </row>
    <row r="296" spans="2:17" ht="14" customHeight="1" thickTop="1" thickBot="1" x14ac:dyDescent="0.2">
      <c r="B296" s="121">
        <v>3</v>
      </c>
      <c r="C296" s="102" t="str">
        <f t="shared" si="84"/>
        <v>11 h 30 à 14 h 30</v>
      </c>
      <c r="D296" s="22">
        <v>25</v>
      </c>
      <c r="E296" s="14">
        <v>0</v>
      </c>
      <c r="F296" s="14">
        <v>0</v>
      </c>
      <c r="G296" s="14">
        <v>41</v>
      </c>
      <c r="H296" s="22">
        <v>46</v>
      </c>
      <c r="I296" s="14">
        <v>0</v>
      </c>
      <c r="J296" s="14">
        <v>40</v>
      </c>
      <c r="K296" s="14">
        <v>28</v>
      </c>
      <c r="L296" s="14">
        <v>25</v>
      </c>
      <c r="M296" s="14">
        <v>24</v>
      </c>
      <c r="N296" s="14">
        <v>0</v>
      </c>
      <c r="O296" s="14">
        <v>25</v>
      </c>
    </row>
    <row r="297" spans="2:17" ht="14" customHeight="1" thickTop="1" thickBot="1" x14ac:dyDescent="0.2">
      <c r="B297" s="121">
        <v>4</v>
      </c>
      <c r="C297" s="102" t="str">
        <f t="shared" si="84"/>
        <v>14 h 30 à 17 h</v>
      </c>
      <c r="D297" s="22">
        <v>10</v>
      </c>
      <c r="E297" s="14">
        <v>0</v>
      </c>
      <c r="F297" s="14">
        <v>0</v>
      </c>
      <c r="G297" s="14">
        <v>11</v>
      </c>
      <c r="H297" s="22">
        <v>10</v>
      </c>
      <c r="I297" s="14">
        <v>0</v>
      </c>
      <c r="J297" s="14">
        <v>20</v>
      </c>
      <c r="K297" s="14">
        <v>28</v>
      </c>
      <c r="L297" s="14">
        <v>25</v>
      </c>
      <c r="M297" s="14">
        <v>24</v>
      </c>
      <c r="N297" s="14">
        <v>0</v>
      </c>
      <c r="O297" s="14">
        <v>25</v>
      </c>
    </row>
    <row r="298" spans="2:17" ht="14" customHeight="1" thickTop="1" thickBot="1" x14ac:dyDescent="0.2">
      <c r="B298" s="121">
        <v>5</v>
      </c>
      <c r="C298" s="102" t="str">
        <f t="shared" si="84"/>
        <v>17 h à 19 h</v>
      </c>
      <c r="D298" s="22">
        <v>25</v>
      </c>
      <c r="E298" s="14">
        <v>0</v>
      </c>
      <c r="F298" s="14">
        <v>0</v>
      </c>
      <c r="G298" s="14">
        <v>31</v>
      </c>
      <c r="H298" s="22">
        <v>11</v>
      </c>
      <c r="I298" s="14">
        <v>0</v>
      </c>
      <c r="J298" s="14">
        <v>16</v>
      </c>
      <c r="K298" s="14">
        <v>28</v>
      </c>
      <c r="L298" s="14">
        <v>25</v>
      </c>
      <c r="M298" s="14">
        <v>24</v>
      </c>
      <c r="N298" s="14">
        <v>0</v>
      </c>
      <c r="O298" s="14">
        <v>25</v>
      </c>
    </row>
    <row r="299" spans="2:17" ht="14" customHeight="1" thickTop="1" thickBot="1" x14ac:dyDescent="0.2">
      <c r="B299" s="121">
        <v>6</v>
      </c>
      <c r="C299" s="102" t="str">
        <f t="shared" si="84"/>
        <v>19 h à 23 h</v>
      </c>
      <c r="D299" s="22">
        <v>10</v>
      </c>
      <c r="E299" s="14">
        <v>0</v>
      </c>
      <c r="F299" s="14">
        <v>0</v>
      </c>
      <c r="G299" s="14">
        <v>11</v>
      </c>
      <c r="H299" s="22">
        <v>10</v>
      </c>
      <c r="I299" s="14">
        <v>0</v>
      </c>
      <c r="J299" s="14">
        <v>40</v>
      </c>
      <c r="K299" s="14">
        <v>21</v>
      </c>
      <c r="L299" s="14">
        <v>25</v>
      </c>
      <c r="M299" s="14">
        <v>24</v>
      </c>
      <c r="N299" s="14">
        <v>0</v>
      </c>
      <c r="O299" s="14">
        <v>25</v>
      </c>
    </row>
    <row r="300" spans="2:17" ht="14" customHeight="1" thickTop="1" thickBot="1" x14ac:dyDescent="0.2">
      <c r="B300" s="121">
        <v>7</v>
      </c>
      <c r="C300" s="102" t="str">
        <f t="shared" si="84"/>
        <v>23 h à 6 h</v>
      </c>
      <c r="D300" s="14">
        <v>0</v>
      </c>
      <c r="E300" s="14">
        <v>0</v>
      </c>
      <c r="F300" s="14">
        <v>0</v>
      </c>
      <c r="G300" s="14">
        <v>0</v>
      </c>
      <c r="H300" s="22">
        <v>0</v>
      </c>
      <c r="I300" s="14">
        <v>0</v>
      </c>
      <c r="J300" s="14">
        <v>0</v>
      </c>
      <c r="K300" s="14">
        <v>0</v>
      </c>
      <c r="L300" s="14">
        <v>0</v>
      </c>
      <c r="M300" s="14">
        <v>0</v>
      </c>
      <c r="N300" s="14">
        <v>0</v>
      </c>
      <c r="O300" s="14">
        <v>0</v>
      </c>
    </row>
    <row r="301" spans="2:17" ht="14" customHeight="1" thickTop="1" thickBot="1" x14ac:dyDescent="0.2">
      <c r="B301" s="19"/>
      <c r="C301" s="21" t="str">
        <f>+C292</f>
        <v>Total</v>
      </c>
      <c r="D301" s="24">
        <f t="shared" ref="D301:O301" si="85">+D294+D295+D296+D297+D298+D299+D300</f>
        <v>115</v>
      </c>
      <c r="E301" s="24">
        <f t="shared" si="85"/>
        <v>0</v>
      </c>
      <c r="F301" s="24">
        <f t="shared" si="85"/>
        <v>0</v>
      </c>
      <c r="G301" s="24">
        <f t="shared" si="85"/>
        <v>108</v>
      </c>
      <c r="H301" s="24">
        <f t="shared" si="85"/>
        <v>142</v>
      </c>
      <c r="I301" s="24">
        <f t="shared" si="85"/>
        <v>0</v>
      </c>
      <c r="J301" s="24">
        <f t="shared" si="85"/>
        <v>146</v>
      </c>
      <c r="K301" s="24">
        <f t="shared" si="85"/>
        <v>153</v>
      </c>
      <c r="L301" s="24">
        <f t="shared" si="85"/>
        <v>145</v>
      </c>
      <c r="M301" s="24">
        <f t="shared" si="85"/>
        <v>140</v>
      </c>
      <c r="N301" s="24">
        <f t="shared" si="85"/>
        <v>0</v>
      </c>
      <c r="O301" s="24">
        <f t="shared" si="85"/>
        <v>145</v>
      </c>
    </row>
    <row r="302" spans="2:17" ht="14" customHeight="1" thickTop="1" thickBot="1" x14ac:dyDescent="0.2">
      <c r="B302" s="124" t="s">
        <v>2</v>
      </c>
      <c r="C302" s="125" t="str">
        <f>+'Calendrier 2021'!C41</f>
        <v>Vendredi</v>
      </c>
      <c r="D302" s="77">
        <f>+'Calendrier 2021'!D41</f>
        <v>44225</v>
      </c>
      <c r="E302" s="77" t="s">
        <v>2</v>
      </c>
      <c r="F302" s="77" t="s">
        <v>2</v>
      </c>
      <c r="G302" s="77">
        <f>+'Calendrier 2021'!G41</f>
        <v>44316</v>
      </c>
      <c r="H302" s="77">
        <f>'Calendrier 2021'!H41</f>
        <v>44344</v>
      </c>
      <c r="I302" s="77" t="s">
        <v>2</v>
      </c>
      <c r="J302" s="77">
        <f>+'Calendrier 2021'!J41</f>
        <v>44407</v>
      </c>
      <c r="K302" s="77">
        <f>'Calendrier 2021'!K41</f>
        <v>44435</v>
      </c>
      <c r="L302" s="77" t="s">
        <v>2</v>
      </c>
      <c r="M302" s="77">
        <f>+'Calendrier 2021'!M41</f>
        <v>44498</v>
      </c>
      <c r="N302" s="77" t="s">
        <v>2</v>
      </c>
      <c r="O302" s="78" t="str">
        <f>+'Calendrier 2021'!O41</f>
        <v>31 dec 2021</v>
      </c>
    </row>
    <row r="303" spans="2:17" ht="14" customHeight="1" thickTop="1" thickBot="1" x14ac:dyDescent="0.2">
      <c r="B303" s="18">
        <v>1</v>
      </c>
      <c r="C303" s="100" t="str">
        <f t="shared" ref="C303:C309" si="86">C294</f>
        <v>6 h à 9 h 30</v>
      </c>
      <c r="D303" s="12">
        <v>20</v>
      </c>
      <c r="E303" s="12">
        <v>0</v>
      </c>
      <c r="F303" s="12">
        <v>0</v>
      </c>
      <c r="G303" s="12">
        <v>0</v>
      </c>
      <c r="H303" s="12">
        <v>20</v>
      </c>
      <c r="I303" s="12">
        <v>0</v>
      </c>
      <c r="J303" s="12">
        <v>20</v>
      </c>
      <c r="K303" s="12">
        <v>20</v>
      </c>
      <c r="L303" s="12">
        <v>0</v>
      </c>
      <c r="M303" s="12">
        <v>20</v>
      </c>
      <c r="N303" s="12">
        <v>0</v>
      </c>
      <c r="O303" s="12">
        <v>20</v>
      </c>
      <c r="P303" s="29" t="s">
        <v>2</v>
      </c>
      <c r="Q303" s="28"/>
    </row>
    <row r="304" spans="2:17" ht="14" customHeight="1" thickTop="1" thickBot="1" x14ac:dyDescent="0.2">
      <c r="B304" s="121">
        <v>2</v>
      </c>
      <c r="C304" s="102" t="str">
        <f t="shared" si="86"/>
        <v>9 h 30 à 11 h 30</v>
      </c>
      <c r="D304" s="310">
        <v>25</v>
      </c>
      <c r="E304" s="14">
        <v>0</v>
      </c>
      <c r="F304" s="14">
        <v>0</v>
      </c>
      <c r="G304" s="14">
        <v>14</v>
      </c>
      <c r="H304" s="22">
        <v>45</v>
      </c>
      <c r="I304" s="14">
        <v>0</v>
      </c>
      <c r="J304" s="14">
        <v>10</v>
      </c>
      <c r="K304" s="14">
        <v>28</v>
      </c>
      <c r="L304" s="14">
        <v>0</v>
      </c>
      <c r="M304" s="14">
        <v>24</v>
      </c>
      <c r="N304" s="14">
        <v>0</v>
      </c>
      <c r="O304" s="14">
        <v>25</v>
      </c>
    </row>
    <row r="305" spans="2:15" ht="14" customHeight="1" thickTop="1" thickBot="1" x14ac:dyDescent="0.2">
      <c r="B305" s="121">
        <v>3</v>
      </c>
      <c r="C305" s="102" t="str">
        <f t="shared" si="86"/>
        <v>11 h 30 à 14 h 30</v>
      </c>
      <c r="D305" s="22">
        <v>25</v>
      </c>
      <c r="E305" s="14">
        <v>0</v>
      </c>
      <c r="F305" s="14">
        <v>0</v>
      </c>
      <c r="G305" s="14">
        <v>31</v>
      </c>
      <c r="H305" s="22">
        <v>46</v>
      </c>
      <c r="I305" s="14">
        <v>0</v>
      </c>
      <c r="J305" s="14">
        <v>40</v>
      </c>
      <c r="K305" s="14">
        <v>28</v>
      </c>
      <c r="L305" s="14">
        <v>0</v>
      </c>
      <c r="M305" s="14">
        <v>24</v>
      </c>
      <c r="N305" s="14">
        <v>0</v>
      </c>
      <c r="O305" s="14">
        <v>25</v>
      </c>
    </row>
    <row r="306" spans="2:15" ht="14" customHeight="1" thickTop="1" thickBot="1" x14ac:dyDescent="0.2">
      <c r="B306" s="121">
        <v>4</v>
      </c>
      <c r="C306" s="102" t="str">
        <f t="shared" si="86"/>
        <v>14 h 30 à 17 h</v>
      </c>
      <c r="D306" s="22">
        <v>10</v>
      </c>
      <c r="E306" s="14">
        <v>0</v>
      </c>
      <c r="F306" s="14">
        <v>0</v>
      </c>
      <c r="G306" s="14">
        <v>32</v>
      </c>
      <c r="H306" s="22">
        <v>10</v>
      </c>
      <c r="I306" s="14">
        <v>0</v>
      </c>
      <c r="J306" s="14">
        <v>20</v>
      </c>
      <c r="K306" s="14">
        <v>28</v>
      </c>
      <c r="L306" s="14">
        <v>0</v>
      </c>
      <c r="M306" s="14">
        <v>24</v>
      </c>
      <c r="N306" s="14">
        <v>0</v>
      </c>
      <c r="O306" s="14">
        <v>25</v>
      </c>
    </row>
    <row r="307" spans="2:15" ht="14" customHeight="1" thickTop="1" thickBot="1" x14ac:dyDescent="0.2">
      <c r="B307" s="121">
        <v>5</v>
      </c>
      <c r="C307" s="102" t="str">
        <f t="shared" si="86"/>
        <v>17 h à 19 h</v>
      </c>
      <c r="D307" s="22">
        <v>25</v>
      </c>
      <c r="E307" s="14">
        <v>0</v>
      </c>
      <c r="F307" s="14">
        <v>0</v>
      </c>
      <c r="G307" s="14">
        <v>41</v>
      </c>
      <c r="H307" s="22">
        <v>11</v>
      </c>
      <c r="I307" s="14">
        <v>0</v>
      </c>
      <c r="J307" s="14">
        <v>16</v>
      </c>
      <c r="K307" s="14">
        <v>28</v>
      </c>
      <c r="L307" s="14">
        <v>0</v>
      </c>
      <c r="M307" s="14">
        <v>24</v>
      </c>
      <c r="N307" s="14">
        <v>0</v>
      </c>
      <c r="O307" s="14">
        <v>25</v>
      </c>
    </row>
    <row r="308" spans="2:15" ht="14" customHeight="1" thickTop="1" thickBot="1" x14ac:dyDescent="0.2">
      <c r="B308" s="121">
        <v>6</v>
      </c>
      <c r="C308" s="102" t="str">
        <f t="shared" si="86"/>
        <v>19 h à 23 h</v>
      </c>
      <c r="D308" s="22">
        <v>10</v>
      </c>
      <c r="E308" s="14">
        <v>0</v>
      </c>
      <c r="F308" s="14">
        <v>0</v>
      </c>
      <c r="G308" s="14">
        <v>11</v>
      </c>
      <c r="H308" s="22">
        <v>10</v>
      </c>
      <c r="I308" s="14">
        <v>0</v>
      </c>
      <c r="J308" s="14">
        <v>40</v>
      </c>
      <c r="K308" s="14">
        <v>21</v>
      </c>
      <c r="L308" s="14">
        <v>0</v>
      </c>
      <c r="M308" s="14">
        <v>24</v>
      </c>
      <c r="N308" s="14">
        <v>0</v>
      </c>
      <c r="O308" s="14">
        <v>22</v>
      </c>
    </row>
    <row r="309" spans="2:15" ht="14" customHeight="1" thickTop="1" thickBot="1" x14ac:dyDescent="0.2">
      <c r="B309" s="121">
        <v>7</v>
      </c>
      <c r="C309" s="102" t="str">
        <f t="shared" si="86"/>
        <v>23 h à 6 h</v>
      </c>
      <c r="D309" s="14">
        <v>0</v>
      </c>
      <c r="E309" s="14">
        <v>0</v>
      </c>
      <c r="F309" s="14">
        <v>0</v>
      </c>
      <c r="G309" s="14">
        <v>0</v>
      </c>
      <c r="H309" s="22">
        <v>0</v>
      </c>
      <c r="I309" s="14">
        <v>0</v>
      </c>
      <c r="J309" s="14">
        <v>0</v>
      </c>
      <c r="K309" s="14">
        <v>0</v>
      </c>
      <c r="L309" s="14">
        <v>0</v>
      </c>
      <c r="M309" s="14">
        <v>0</v>
      </c>
      <c r="N309" s="14">
        <v>0</v>
      </c>
      <c r="O309" s="14">
        <v>0</v>
      </c>
    </row>
    <row r="310" spans="2:15" ht="14" customHeight="1" thickTop="1" thickBot="1" x14ac:dyDescent="0.2">
      <c r="B310" s="19"/>
      <c r="C310" s="21" t="str">
        <f t="shared" ref="C310" si="87">+C301</f>
        <v>Total</v>
      </c>
      <c r="D310" s="24">
        <f t="shared" ref="D310:L310" si="88">+D303+D304+D305+D306+D307+D308+D309</f>
        <v>115</v>
      </c>
      <c r="E310" s="24">
        <f t="shared" si="88"/>
        <v>0</v>
      </c>
      <c r="F310" s="24">
        <f t="shared" si="88"/>
        <v>0</v>
      </c>
      <c r="G310" s="24">
        <f t="shared" si="88"/>
        <v>129</v>
      </c>
      <c r="H310" s="24">
        <f t="shared" si="88"/>
        <v>142</v>
      </c>
      <c r="I310" s="24">
        <f t="shared" si="88"/>
        <v>0</v>
      </c>
      <c r="J310" s="24">
        <f t="shared" si="88"/>
        <v>146</v>
      </c>
      <c r="K310" s="24">
        <f t="shared" si="88"/>
        <v>153</v>
      </c>
      <c r="L310" s="24">
        <f t="shared" si="88"/>
        <v>0</v>
      </c>
      <c r="M310" s="24">
        <f>+M303+M304+M305+M306+M307+M308+M309</f>
        <v>140</v>
      </c>
      <c r="N310" s="24">
        <f>+N303+N304+N305+N306+N307+N308+N309</f>
        <v>0</v>
      </c>
      <c r="O310" s="24">
        <f>+O303+O304+O305+O306+O307+O308+O309</f>
        <v>142</v>
      </c>
    </row>
    <row r="311" spans="2:15" ht="14" customHeight="1" thickTop="1" thickBot="1" x14ac:dyDescent="0.2">
      <c r="B311" s="124" t="s">
        <v>2</v>
      </c>
      <c r="C311" s="125" t="str">
        <f>+'Calendrier 2021'!C42</f>
        <v>Samedi</v>
      </c>
      <c r="D311" s="77">
        <f>+'Calendrier 2021'!D42</f>
        <v>44226</v>
      </c>
      <c r="E311" s="77" t="s">
        <v>2</v>
      </c>
      <c r="F311" s="77" t="s">
        <v>2</v>
      </c>
      <c r="G311" s="77" t="s">
        <v>2</v>
      </c>
      <c r="H311" s="77">
        <f>'Calendrier 2021'!H42</f>
        <v>44345</v>
      </c>
      <c r="I311" s="77" t="s">
        <v>2</v>
      </c>
      <c r="J311" s="77">
        <f>+'Calendrier 2021'!J42</f>
        <v>44408</v>
      </c>
      <c r="K311" s="77">
        <f>'Calendrier 2021'!K42</f>
        <v>44436</v>
      </c>
      <c r="L311" s="77" t="s">
        <v>2</v>
      </c>
      <c r="M311" s="77">
        <f>+'Calendrier 2021'!M42</f>
        <v>44499</v>
      </c>
      <c r="N311" s="77" t="s">
        <v>2</v>
      </c>
      <c r="O311" s="78" t="s">
        <v>2</v>
      </c>
    </row>
    <row r="312" spans="2:15" ht="14" customHeight="1" thickTop="1" thickBot="1" x14ac:dyDescent="0.2">
      <c r="B312" s="18">
        <v>1</v>
      </c>
      <c r="C312" s="100" t="str">
        <f t="shared" ref="C312:C318" si="89">C303</f>
        <v>6 h à 9 h 30</v>
      </c>
      <c r="D312" s="12">
        <v>20</v>
      </c>
      <c r="E312" s="12">
        <v>0</v>
      </c>
      <c r="F312" s="12">
        <v>0</v>
      </c>
      <c r="G312" s="12">
        <v>0</v>
      </c>
      <c r="H312" s="12">
        <v>20</v>
      </c>
      <c r="I312" s="12">
        <v>0</v>
      </c>
      <c r="J312" s="12">
        <v>20</v>
      </c>
      <c r="K312" s="12">
        <v>20</v>
      </c>
      <c r="L312" s="12">
        <v>0</v>
      </c>
      <c r="M312" s="12">
        <v>20</v>
      </c>
      <c r="N312" s="12">
        <v>0</v>
      </c>
      <c r="O312" s="12">
        <v>0</v>
      </c>
    </row>
    <row r="313" spans="2:15" ht="14" customHeight="1" thickTop="1" thickBot="1" x14ac:dyDescent="0.2">
      <c r="B313" s="18">
        <v>2</v>
      </c>
      <c r="C313" s="102" t="str">
        <f t="shared" si="89"/>
        <v>9 h 30 à 11 h 30</v>
      </c>
      <c r="D313" s="310">
        <v>25</v>
      </c>
      <c r="E313" s="14">
        <v>0</v>
      </c>
      <c r="F313" s="14">
        <v>0</v>
      </c>
      <c r="G313" s="14">
        <v>0</v>
      </c>
      <c r="H313" s="22">
        <v>45</v>
      </c>
      <c r="I313" s="14">
        <v>0</v>
      </c>
      <c r="J313" s="14">
        <v>10</v>
      </c>
      <c r="K313" s="14">
        <v>28</v>
      </c>
      <c r="L313" s="14">
        <v>0</v>
      </c>
      <c r="M313" s="14">
        <v>24</v>
      </c>
      <c r="N313" s="14">
        <v>0</v>
      </c>
      <c r="O313" s="14">
        <v>0</v>
      </c>
    </row>
    <row r="314" spans="2:15" ht="14" customHeight="1" thickTop="1" thickBot="1" x14ac:dyDescent="0.2">
      <c r="B314" s="18">
        <v>3</v>
      </c>
      <c r="C314" s="102" t="str">
        <f t="shared" si="89"/>
        <v>11 h 30 à 14 h 30</v>
      </c>
      <c r="D314" s="22">
        <v>25</v>
      </c>
      <c r="E314" s="14">
        <v>0</v>
      </c>
      <c r="F314" s="14">
        <v>0</v>
      </c>
      <c r="G314" s="14">
        <v>0</v>
      </c>
      <c r="H314" s="22">
        <v>46</v>
      </c>
      <c r="I314" s="14">
        <v>0</v>
      </c>
      <c r="J314" s="14">
        <v>37</v>
      </c>
      <c r="K314" s="14">
        <v>28</v>
      </c>
      <c r="L314" s="14">
        <v>0</v>
      </c>
      <c r="M314" s="14">
        <v>24</v>
      </c>
      <c r="N314" s="14">
        <v>0</v>
      </c>
      <c r="O314" s="14">
        <v>0</v>
      </c>
    </row>
    <row r="315" spans="2:15" ht="14" customHeight="1" thickTop="1" thickBot="1" x14ac:dyDescent="0.2">
      <c r="B315" s="18">
        <v>4</v>
      </c>
      <c r="C315" s="102" t="str">
        <f t="shared" si="89"/>
        <v>14 h 30 à 17 h</v>
      </c>
      <c r="D315" s="22">
        <v>10</v>
      </c>
      <c r="E315" s="14">
        <v>0</v>
      </c>
      <c r="F315" s="14">
        <v>0</v>
      </c>
      <c r="G315" s="14">
        <v>0</v>
      </c>
      <c r="H315" s="22">
        <v>10</v>
      </c>
      <c r="I315" s="14">
        <v>0</v>
      </c>
      <c r="J315" s="14">
        <v>20</v>
      </c>
      <c r="K315" s="14">
        <v>28</v>
      </c>
      <c r="L315" s="14">
        <v>0</v>
      </c>
      <c r="M315" s="14">
        <v>24</v>
      </c>
      <c r="N315" s="14">
        <v>0</v>
      </c>
      <c r="O315" s="14">
        <v>0</v>
      </c>
    </row>
    <row r="316" spans="2:15" ht="14" customHeight="1" thickTop="1" thickBot="1" x14ac:dyDescent="0.2">
      <c r="B316" s="18">
        <v>5</v>
      </c>
      <c r="C316" s="102" t="str">
        <f t="shared" si="89"/>
        <v>17 h à 19 h</v>
      </c>
      <c r="D316" s="22">
        <v>25</v>
      </c>
      <c r="E316" s="14">
        <v>0</v>
      </c>
      <c r="F316" s="14">
        <v>0</v>
      </c>
      <c r="G316" s="14">
        <v>0</v>
      </c>
      <c r="H316" s="22">
        <v>11</v>
      </c>
      <c r="I316" s="14">
        <v>0</v>
      </c>
      <c r="J316" s="14">
        <v>16</v>
      </c>
      <c r="K316" s="14">
        <v>28</v>
      </c>
      <c r="L316" s="14">
        <v>0</v>
      </c>
      <c r="M316" s="14">
        <v>24</v>
      </c>
      <c r="N316" s="14">
        <v>0</v>
      </c>
      <c r="O316" s="14">
        <v>0</v>
      </c>
    </row>
    <row r="317" spans="2:15" ht="14" customHeight="1" thickTop="1" thickBot="1" x14ac:dyDescent="0.2">
      <c r="B317" s="18">
        <v>6</v>
      </c>
      <c r="C317" s="102" t="str">
        <f t="shared" si="89"/>
        <v>19 h à 23 h</v>
      </c>
      <c r="D317" s="22">
        <v>10</v>
      </c>
      <c r="E317" s="14">
        <v>0</v>
      </c>
      <c r="F317" s="14">
        <v>0</v>
      </c>
      <c r="G317" s="14">
        <v>0</v>
      </c>
      <c r="H317" s="22">
        <v>10</v>
      </c>
      <c r="I317" s="14">
        <v>0</v>
      </c>
      <c r="J317" s="14">
        <v>30</v>
      </c>
      <c r="K317" s="14">
        <v>21</v>
      </c>
      <c r="L317" s="14">
        <v>0</v>
      </c>
      <c r="M317" s="14">
        <v>24</v>
      </c>
      <c r="N317" s="14">
        <v>0</v>
      </c>
      <c r="O317" s="14">
        <v>0</v>
      </c>
    </row>
    <row r="318" spans="2:15" ht="14" customHeight="1" thickTop="1" thickBot="1" x14ac:dyDescent="0.2">
      <c r="B318" s="18">
        <v>7</v>
      </c>
      <c r="C318" s="102" t="str">
        <f t="shared" si="89"/>
        <v>23 h à 6 h</v>
      </c>
      <c r="D318" s="14">
        <v>0</v>
      </c>
      <c r="E318" s="14">
        <v>0</v>
      </c>
      <c r="F318" s="14">
        <v>0</v>
      </c>
      <c r="G318" s="14">
        <v>0</v>
      </c>
      <c r="H318" s="22">
        <v>0</v>
      </c>
      <c r="I318" s="14">
        <v>0</v>
      </c>
      <c r="J318" s="14">
        <v>0</v>
      </c>
      <c r="K318" s="14">
        <v>0</v>
      </c>
      <c r="L318" s="14">
        <v>0</v>
      </c>
      <c r="M318" s="14">
        <v>0</v>
      </c>
      <c r="N318" s="14">
        <v>0</v>
      </c>
      <c r="O318" s="14">
        <v>0</v>
      </c>
    </row>
    <row r="319" spans="2:15" ht="14" customHeight="1" thickTop="1" thickBot="1" x14ac:dyDescent="0.2">
      <c r="B319" s="19"/>
      <c r="C319" s="21" t="str">
        <f t="shared" ref="C319" si="90">+C310</f>
        <v>Total</v>
      </c>
      <c r="D319" s="24">
        <f t="shared" ref="D319:M319" si="91">+D312+D313+D314+D315+D316+D317+D318</f>
        <v>115</v>
      </c>
      <c r="E319" s="24">
        <f t="shared" si="91"/>
        <v>0</v>
      </c>
      <c r="F319" s="24">
        <f t="shared" si="91"/>
        <v>0</v>
      </c>
      <c r="G319" s="24">
        <f t="shared" si="91"/>
        <v>0</v>
      </c>
      <c r="H319" s="24">
        <f t="shared" si="91"/>
        <v>142</v>
      </c>
      <c r="I319" s="24">
        <f t="shared" si="91"/>
        <v>0</v>
      </c>
      <c r="J319" s="24">
        <f t="shared" si="91"/>
        <v>133</v>
      </c>
      <c r="K319" s="24">
        <f t="shared" si="91"/>
        <v>153</v>
      </c>
      <c r="L319" s="24">
        <f t="shared" si="91"/>
        <v>0</v>
      </c>
      <c r="M319" s="24">
        <f t="shared" si="91"/>
        <v>140</v>
      </c>
      <c r="N319" s="24">
        <f>+N312+N313+N314+N315+N316+N317+N318</f>
        <v>0</v>
      </c>
      <c r="O319" s="24">
        <f>+O312+O313+O314+O315+O316+O317+O318</f>
        <v>0</v>
      </c>
    </row>
    <row r="320" spans="2:15" ht="14" customHeight="1" thickTop="1" thickBot="1" x14ac:dyDescent="0.2">
      <c r="B320" s="124" t="s">
        <v>2</v>
      </c>
      <c r="C320" s="125" t="str">
        <f>+'Calendrier 2021'!C43</f>
        <v>Dimanche</v>
      </c>
      <c r="D320" s="77">
        <f>+'Calendrier 2021'!D43</f>
        <v>44227</v>
      </c>
      <c r="E320" s="77" t="s">
        <v>2</v>
      </c>
      <c r="F320" s="77" t="s">
        <v>2</v>
      </c>
      <c r="G320" s="77" t="s">
        <v>2</v>
      </c>
      <c r="H320" s="77">
        <f>'Calendrier 2021'!H43</f>
        <v>44346</v>
      </c>
      <c r="I320" s="77" t="s">
        <v>2</v>
      </c>
      <c r="J320" s="77" t="s">
        <v>2</v>
      </c>
      <c r="K320" s="77">
        <f>'Calendrier 2021'!K43</f>
        <v>44437</v>
      </c>
      <c r="L320" s="77" t="s">
        <v>2</v>
      </c>
      <c r="M320" s="77">
        <f>+'Calendrier 2021'!M43</f>
        <v>44500</v>
      </c>
      <c r="N320" s="77" t="s">
        <v>2</v>
      </c>
      <c r="O320" s="78" t="s">
        <v>2</v>
      </c>
    </row>
    <row r="321" spans="2:15" ht="14" customHeight="1" thickTop="1" thickBot="1" x14ac:dyDescent="0.2">
      <c r="B321" s="121">
        <v>1</v>
      </c>
      <c r="C321" s="100" t="str">
        <f t="shared" ref="C321:C327" si="92">C312</f>
        <v>6 h à 9 h 30</v>
      </c>
      <c r="D321" s="12">
        <v>20</v>
      </c>
      <c r="E321" s="12">
        <v>0</v>
      </c>
      <c r="F321" s="12">
        <v>0</v>
      </c>
      <c r="G321" s="12">
        <v>0</v>
      </c>
      <c r="H321" s="12">
        <v>20</v>
      </c>
      <c r="I321" s="12">
        <v>0</v>
      </c>
      <c r="J321" s="12">
        <v>0</v>
      </c>
      <c r="K321" s="12">
        <v>20</v>
      </c>
      <c r="L321" s="12">
        <v>0</v>
      </c>
      <c r="M321" s="12">
        <v>20</v>
      </c>
      <c r="N321" s="12">
        <v>0</v>
      </c>
      <c r="O321" s="12">
        <v>0</v>
      </c>
    </row>
    <row r="322" spans="2:15" ht="14" customHeight="1" thickTop="1" thickBot="1" x14ac:dyDescent="0.2">
      <c r="B322" s="18">
        <v>2</v>
      </c>
      <c r="C322" s="102" t="str">
        <f t="shared" si="92"/>
        <v>9 h 30 à 11 h 30</v>
      </c>
      <c r="D322" s="310">
        <v>48</v>
      </c>
      <c r="E322" s="14">
        <v>0</v>
      </c>
      <c r="F322" s="14">
        <v>0</v>
      </c>
      <c r="G322" s="14">
        <v>0</v>
      </c>
      <c r="H322" s="22">
        <v>35</v>
      </c>
      <c r="I322" s="14">
        <v>0</v>
      </c>
      <c r="J322" s="14">
        <v>0</v>
      </c>
      <c r="K322" s="14">
        <v>28</v>
      </c>
      <c r="L322" s="14">
        <v>0</v>
      </c>
      <c r="M322" s="14">
        <v>20</v>
      </c>
      <c r="N322" s="14">
        <v>0</v>
      </c>
      <c r="O322" s="14">
        <v>0</v>
      </c>
    </row>
    <row r="323" spans="2:15" ht="14" customHeight="1" thickTop="1" thickBot="1" x14ac:dyDescent="0.2">
      <c r="B323" s="18">
        <v>3</v>
      </c>
      <c r="C323" s="102" t="str">
        <f t="shared" si="92"/>
        <v>11 h 30 à 14 h 30</v>
      </c>
      <c r="D323" s="22">
        <v>50</v>
      </c>
      <c r="E323" s="14">
        <v>0</v>
      </c>
      <c r="F323" s="14">
        <v>0</v>
      </c>
      <c r="G323" s="14">
        <v>0</v>
      </c>
      <c r="H323" s="22">
        <v>36</v>
      </c>
      <c r="I323" s="14">
        <v>0</v>
      </c>
      <c r="J323" s="14">
        <v>0</v>
      </c>
      <c r="K323" s="14">
        <v>28</v>
      </c>
      <c r="L323" s="14">
        <v>0</v>
      </c>
      <c r="M323" s="14">
        <v>24</v>
      </c>
      <c r="N323" s="14">
        <v>0</v>
      </c>
      <c r="O323" s="14">
        <v>0</v>
      </c>
    </row>
    <row r="324" spans="2:15" ht="14" customHeight="1" thickTop="1" thickBot="1" x14ac:dyDescent="0.2">
      <c r="B324" s="18">
        <v>4</v>
      </c>
      <c r="C324" s="102" t="str">
        <f t="shared" si="92"/>
        <v>14 h 30 à 17 h</v>
      </c>
      <c r="D324" s="22">
        <v>10</v>
      </c>
      <c r="E324" s="14">
        <v>0</v>
      </c>
      <c r="F324" s="14">
        <v>0</v>
      </c>
      <c r="G324" s="14">
        <v>0</v>
      </c>
      <c r="H324" s="22">
        <v>10</v>
      </c>
      <c r="I324" s="14">
        <v>0</v>
      </c>
      <c r="J324" s="14">
        <v>0</v>
      </c>
      <c r="K324" s="14">
        <v>28</v>
      </c>
      <c r="L324" s="14">
        <v>0</v>
      </c>
      <c r="M324" s="14">
        <v>24</v>
      </c>
      <c r="N324" s="14">
        <v>0</v>
      </c>
      <c r="O324" s="14">
        <v>0</v>
      </c>
    </row>
    <row r="325" spans="2:15" ht="14" customHeight="1" thickTop="1" thickBot="1" x14ac:dyDescent="0.2">
      <c r="B325" s="18">
        <v>5</v>
      </c>
      <c r="C325" s="102" t="str">
        <f t="shared" si="92"/>
        <v>17 h à 19 h</v>
      </c>
      <c r="D325" s="22">
        <v>50</v>
      </c>
      <c r="E325" s="14">
        <v>0</v>
      </c>
      <c r="F325" s="14">
        <v>0</v>
      </c>
      <c r="G325" s="14">
        <v>0</v>
      </c>
      <c r="H325" s="22">
        <v>11</v>
      </c>
      <c r="I325" s="14">
        <v>0</v>
      </c>
      <c r="J325" s="14">
        <v>0</v>
      </c>
      <c r="K325" s="14">
        <v>28</v>
      </c>
      <c r="L325" s="14">
        <v>0</v>
      </c>
      <c r="M325" s="14">
        <v>24</v>
      </c>
      <c r="N325" s="14">
        <v>0</v>
      </c>
      <c r="O325" s="14">
        <v>0</v>
      </c>
    </row>
    <row r="326" spans="2:15" ht="14" customHeight="1" thickTop="1" thickBot="1" x14ac:dyDescent="0.2">
      <c r="B326" s="18">
        <v>6</v>
      </c>
      <c r="C326" s="102" t="str">
        <f t="shared" si="92"/>
        <v>19 h à 23 h</v>
      </c>
      <c r="D326" s="22">
        <v>10</v>
      </c>
      <c r="E326" s="14">
        <v>0</v>
      </c>
      <c r="F326" s="14">
        <v>0</v>
      </c>
      <c r="G326" s="14">
        <v>0</v>
      </c>
      <c r="H326" s="22">
        <v>10</v>
      </c>
      <c r="I326" s="14">
        <v>0</v>
      </c>
      <c r="J326" s="14">
        <v>0</v>
      </c>
      <c r="K326" s="14">
        <v>21</v>
      </c>
      <c r="L326" s="14">
        <v>0</v>
      </c>
      <c r="M326" s="14">
        <v>24</v>
      </c>
      <c r="N326" s="14">
        <v>0</v>
      </c>
      <c r="O326" s="14">
        <v>0</v>
      </c>
    </row>
    <row r="327" spans="2:15" ht="14" customHeight="1" thickTop="1" thickBot="1" x14ac:dyDescent="0.2">
      <c r="B327" s="18">
        <v>7</v>
      </c>
      <c r="C327" s="102" t="str">
        <f t="shared" si="92"/>
        <v>23 h à 6 h</v>
      </c>
      <c r="D327" s="14">
        <v>0</v>
      </c>
      <c r="E327" s="14">
        <v>0</v>
      </c>
      <c r="F327" s="14">
        <v>0</v>
      </c>
      <c r="G327" s="14">
        <v>0</v>
      </c>
      <c r="H327" s="22">
        <v>0</v>
      </c>
      <c r="I327" s="14">
        <v>0</v>
      </c>
      <c r="J327" s="14">
        <v>0</v>
      </c>
      <c r="K327" s="14">
        <v>0</v>
      </c>
      <c r="L327" s="14">
        <v>0</v>
      </c>
      <c r="M327" s="14">
        <v>0</v>
      </c>
      <c r="N327" s="14">
        <v>0</v>
      </c>
      <c r="O327" s="14">
        <v>0</v>
      </c>
    </row>
    <row r="328" spans="2:15" ht="14" customHeight="1" thickTop="1" thickBot="1" x14ac:dyDescent="0.2">
      <c r="B328" s="18"/>
      <c r="C328" s="16" t="str">
        <f t="shared" ref="C328" si="93">+C319</f>
        <v>Total</v>
      </c>
      <c r="D328" s="24">
        <f t="shared" ref="D328:L328" si="94">+D321+D322+D323+D324+D325+D326+D327</f>
        <v>188</v>
      </c>
      <c r="E328" s="24">
        <f t="shared" si="94"/>
        <v>0</v>
      </c>
      <c r="F328" s="24">
        <f t="shared" si="94"/>
        <v>0</v>
      </c>
      <c r="G328" s="24">
        <f t="shared" si="94"/>
        <v>0</v>
      </c>
      <c r="H328" s="24">
        <f t="shared" si="94"/>
        <v>122</v>
      </c>
      <c r="I328" s="24">
        <f t="shared" si="94"/>
        <v>0</v>
      </c>
      <c r="J328" s="24">
        <f t="shared" si="94"/>
        <v>0</v>
      </c>
      <c r="K328" s="24">
        <f t="shared" si="94"/>
        <v>153</v>
      </c>
      <c r="L328" s="24">
        <f t="shared" si="94"/>
        <v>0</v>
      </c>
      <c r="M328" s="24">
        <f>+M321+M322+M323+M324+M325+M326+M327</f>
        <v>136</v>
      </c>
      <c r="N328" s="24">
        <f>+N321+N322+N323+N324+N325+N326+N327</f>
        <v>0</v>
      </c>
      <c r="O328" s="24">
        <f>+O321+O322+O323+O324+O325+O326+O327</f>
        <v>0</v>
      </c>
    </row>
    <row r="329" spans="2:15" ht="14" customHeight="1" thickTop="1" thickBot="1" x14ac:dyDescent="0.2">
      <c r="B329" s="1262" t="s">
        <v>21</v>
      </c>
      <c r="C329" s="1265"/>
      <c r="D329" s="1265"/>
      <c r="E329" s="1265"/>
      <c r="F329" s="1265"/>
      <c r="G329" s="1265"/>
      <c r="H329" s="1265"/>
      <c r="I329" s="1265"/>
      <c r="J329" s="1265"/>
      <c r="K329" s="1265"/>
      <c r="L329" s="1265"/>
      <c r="M329" s="1265"/>
      <c r="N329" s="1265"/>
      <c r="O329" s="1266"/>
    </row>
    <row r="330" spans="2:15" ht="14" customHeight="1" thickTop="1" thickBot="1" x14ac:dyDescent="0.2">
      <c r="B330" s="128">
        <f>+'Calendrier 2021'!B44</f>
        <v>6</v>
      </c>
      <c r="C330" s="129" t="str">
        <f>+'Calendrier 2021'!C44</f>
        <v>Lundi</v>
      </c>
      <c r="D330" s="160" t="s">
        <v>2</v>
      </c>
      <c r="E330" s="130" t="s">
        <v>2</v>
      </c>
      <c r="F330" s="130" t="s">
        <v>2</v>
      </c>
      <c r="G330" s="130" t="s">
        <v>2</v>
      </c>
      <c r="H330" s="130">
        <f>'Calendrier 2021'!H44</f>
        <v>44347</v>
      </c>
      <c r="I330" s="130" t="s">
        <v>2</v>
      </c>
      <c r="J330" s="130" t="s">
        <v>2</v>
      </c>
      <c r="K330" s="130">
        <f>'Calendrier 2021'!K44</f>
        <v>44438</v>
      </c>
      <c r="L330" s="130" t="s">
        <v>2</v>
      </c>
      <c r="M330" s="130" t="s">
        <v>2</v>
      </c>
      <c r="N330" s="130" t="s">
        <v>2</v>
      </c>
      <c r="O330" s="131" t="s">
        <v>2</v>
      </c>
    </row>
    <row r="331" spans="2:15" ht="14" customHeight="1" thickTop="1" x14ac:dyDescent="0.15">
      <c r="B331" s="11">
        <v>1</v>
      </c>
      <c r="C331" s="100" t="str">
        <f t="shared" ref="C331:C337" si="95">C321</f>
        <v>6 h à 9 h 30</v>
      </c>
      <c r="D331" s="12">
        <v>0</v>
      </c>
      <c r="E331" s="12">
        <v>0</v>
      </c>
      <c r="F331" s="12">
        <v>0</v>
      </c>
      <c r="G331" s="12">
        <v>0</v>
      </c>
      <c r="H331" s="12">
        <v>20</v>
      </c>
      <c r="I331" s="12">
        <v>0</v>
      </c>
      <c r="J331" s="12">
        <v>0</v>
      </c>
      <c r="K331" s="12">
        <v>20</v>
      </c>
      <c r="L331" s="12">
        <v>0</v>
      </c>
      <c r="M331" s="12">
        <v>0</v>
      </c>
      <c r="N331" s="12">
        <v>0</v>
      </c>
      <c r="O331" s="12">
        <v>0</v>
      </c>
    </row>
    <row r="332" spans="2:15" ht="14" customHeight="1" x14ac:dyDescent="0.15">
      <c r="B332" s="13">
        <v>2</v>
      </c>
      <c r="C332" s="102" t="str">
        <f t="shared" si="95"/>
        <v>9 h 30 à 11 h 30</v>
      </c>
      <c r="D332" s="14">
        <v>0</v>
      </c>
      <c r="E332" s="14">
        <v>0</v>
      </c>
      <c r="F332" s="14">
        <v>0</v>
      </c>
      <c r="G332" s="14">
        <v>0</v>
      </c>
      <c r="H332" s="22">
        <v>45</v>
      </c>
      <c r="I332" s="14">
        <v>0</v>
      </c>
      <c r="J332" s="14">
        <v>0</v>
      </c>
      <c r="K332" s="14">
        <v>28</v>
      </c>
      <c r="L332" s="14">
        <v>0</v>
      </c>
      <c r="M332" s="14">
        <v>0</v>
      </c>
      <c r="N332" s="14">
        <v>0</v>
      </c>
      <c r="O332" s="14">
        <v>0</v>
      </c>
    </row>
    <row r="333" spans="2:15" ht="14" customHeight="1" x14ac:dyDescent="0.15">
      <c r="B333" s="13">
        <v>3</v>
      </c>
      <c r="C333" s="102" t="str">
        <f t="shared" si="95"/>
        <v>11 h 30 à 14 h 30</v>
      </c>
      <c r="D333" s="14">
        <v>0</v>
      </c>
      <c r="E333" s="14">
        <v>0</v>
      </c>
      <c r="F333" s="14">
        <v>0</v>
      </c>
      <c r="G333" s="14">
        <v>0</v>
      </c>
      <c r="H333" s="22">
        <v>46</v>
      </c>
      <c r="I333" s="14">
        <v>0</v>
      </c>
      <c r="J333" s="14">
        <v>0</v>
      </c>
      <c r="K333" s="14">
        <v>38</v>
      </c>
      <c r="L333" s="14">
        <v>0</v>
      </c>
      <c r="M333" s="14">
        <v>0</v>
      </c>
      <c r="N333" s="14">
        <v>0</v>
      </c>
      <c r="O333" s="14">
        <v>0</v>
      </c>
    </row>
    <row r="334" spans="2:15" ht="14" customHeight="1" x14ac:dyDescent="0.15">
      <c r="B334" s="13">
        <v>4</v>
      </c>
      <c r="C334" s="102" t="str">
        <f t="shared" si="95"/>
        <v>14 h 30 à 17 h</v>
      </c>
      <c r="D334" s="14">
        <v>0</v>
      </c>
      <c r="E334" s="14">
        <v>0</v>
      </c>
      <c r="F334" s="14">
        <v>0</v>
      </c>
      <c r="G334" s="14">
        <v>0</v>
      </c>
      <c r="H334" s="22">
        <v>10</v>
      </c>
      <c r="I334" s="14">
        <v>0</v>
      </c>
      <c r="J334" s="14">
        <v>0</v>
      </c>
      <c r="K334" s="14">
        <v>28</v>
      </c>
      <c r="L334" s="14">
        <v>0</v>
      </c>
      <c r="M334" s="14">
        <v>0</v>
      </c>
      <c r="N334" s="14">
        <v>0</v>
      </c>
      <c r="O334" s="14">
        <v>0</v>
      </c>
    </row>
    <row r="335" spans="2:15" ht="14" customHeight="1" x14ac:dyDescent="0.15">
      <c r="B335" s="13">
        <v>5</v>
      </c>
      <c r="C335" s="102" t="str">
        <f t="shared" si="95"/>
        <v>17 h à 19 h</v>
      </c>
      <c r="D335" s="14">
        <v>0</v>
      </c>
      <c r="E335" s="14">
        <v>0</v>
      </c>
      <c r="F335" s="14">
        <v>0</v>
      </c>
      <c r="G335" s="14">
        <v>0</v>
      </c>
      <c r="H335" s="22">
        <v>19</v>
      </c>
      <c r="I335" s="14">
        <v>0</v>
      </c>
      <c r="J335" s="14">
        <v>0</v>
      </c>
      <c r="K335" s="14">
        <v>31</v>
      </c>
      <c r="L335" s="14">
        <v>0</v>
      </c>
      <c r="M335" s="14">
        <v>0</v>
      </c>
      <c r="N335" s="14">
        <v>0</v>
      </c>
      <c r="O335" s="14">
        <v>0</v>
      </c>
    </row>
    <row r="336" spans="2:15" ht="14" customHeight="1" x14ac:dyDescent="0.15">
      <c r="B336" s="13">
        <v>6</v>
      </c>
      <c r="C336" s="102" t="str">
        <f t="shared" si="95"/>
        <v>19 h à 23 h</v>
      </c>
      <c r="D336" s="14">
        <v>0</v>
      </c>
      <c r="E336" s="14">
        <v>0</v>
      </c>
      <c r="F336" s="14">
        <v>0</v>
      </c>
      <c r="G336" s="14">
        <v>0</v>
      </c>
      <c r="H336" s="22">
        <v>10</v>
      </c>
      <c r="I336" s="14">
        <v>0</v>
      </c>
      <c r="J336" s="14">
        <v>0</v>
      </c>
      <c r="K336" s="14">
        <v>21</v>
      </c>
      <c r="L336" s="14">
        <v>0</v>
      </c>
      <c r="M336" s="14">
        <v>0</v>
      </c>
      <c r="N336" s="14">
        <v>0</v>
      </c>
      <c r="O336" s="14">
        <v>0</v>
      </c>
    </row>
    <row r="337" spans="2:15" ht="14" customHeight="1" x14ac:dyDescent="0.15">
      <c r="B337" s="13">
        <v>7</v>
      </c>
      <c r="C337" s="102" t="str">
        <f t="shared" si="95"/>
        <v>23 h à 6 h</v>
      </c>
      <c r="D337" s="14">
        <v>0</v>
      </c>
      <c r="E337" s="14">
        <v>0</v>
      </c>
      <c r="F337" s="14">
        <v>0</v>
      </c>
      <c r="G337" s="14">
        <v>0</v>
      </c>
      <c r="H337" s="22">
        <v>0</v>
      </c>
      <c r="I337" s="14">
        <v>0</v>
      </c>
      <c r="J337" s="14">
        <v>0</v>
      </c>
      <c r="K337" s="14">
        <v>0</v>
      </c>
      <c r="L337" s="14">
        <v>0</v>
      </c>
      <c r="M337" s="14">
        <v>0</v>
      </c>
      <c r="N337" s="14">
        <v>0</v>
      </c>
      <c r="O337" s="14">
        <v>0</v>
      </c>
    </row>
    <row r="338" spans="2:15" ht="14" customHeight="1" thickBot="1" x14ac:dyDescent="0.2">
      <c r="B338" s="15"/>
      <c r="C338" s="16" t="str">
        <f>+C328</f>
        <v>Total</v>
      </c>
      <c r="D338" s="17">
        <f>+D331+D332+D333+D334+D335+D336+D337</f>
        <v>0</v>
      </c>
      <c r="E338" s="17">
        <f>+E331+E332+E333+E334+E335+E336+E337</f>
        <v>0</v>
      </c>
      <c r="F338" s="24">
        <f t="shared" ref="F338:M338" si="96">+F331+F332+F333+F334+F335+F336+F337</f>
        <v>0</v>
      </c>
      <c r="G338" s="24">
        <f t="shared" si="96"/>
        <v>0</v>
      </c>
      <c r="H338" s="24">
        <f t="shared" si="96"/>
        <v>150</v>
      </c>
      <c r="I338" s="24">
        <f t="shared" si="96"/>
        <v>0</v>
      </c>
      <c r="J338" s="17">
        <f t="shared" si="96"/>
        <v>0</v>
      </c>
      <c r="K338" s="24">
        <f t="shared" si="96"/>
        <v>166</v>
      </c>
      <c r="L338" s="24">
        <f t="shared" si="96"/>
        <v>0</v>
      </c>
      <c r="M338" s="24">
        <f t="shared" si="96"/>
        <v>0</v>
      </c>
      <c r="N338" s="24">
        <f>+N331+N332+N333+N334+N335+N336+N337</f>
        <v>0</v>
      </c>
      <c r="O338" s="24">
        <f>+O331+O332+O333+O334+O335+O336+O337</f>
        <v>0</v>
      </c>
    </row>
    <row r="339" spans="2:15" ht="14" customHeight="1" thickTop="1" thickBot="1" x14ac:dyDescent="0.2">
      <c r="B339" s="124" t="s">
        <v>2</v>
      </c>
      <c r="C339" s="125" t="str">
        <f>+'Calendrier 2021'!C45</f>
        <v>Mardi</v>
      </c>
      <c r="D339" s="77" t="s">
        <v>2</v>
      </c>
      <c r="E339" s="77" t="s">
        <v>2</v>
      </c>
      <c r="F339" s="77" t="s">
        <v>2</v>
      </c>
      <c r="G339" s="77" t="s">
        <v>2</v>
      </c>
      <c r="H339" s="77" t="s">
        <v>2</v>
      </c>
      <c r="I339" s="77" t="s">
        <v>2</v>
      </c>
      <c r="J339" s="77" t="s">
        <v>2</v>
      </c>
      <c r="K339" s="77">
        <f>'Calendrier 2021'!K45</f>
        <v>44439</v>
      </c>
      <c r="L339" s="77" t="s">
        <v>2</v>
      </c>
      <c r="M339" s="77" t="s">
        <v>2</v>
      </c>
      <c r="N339" s="77" t="s">
        <v>2</v>
      </c>
      <c r="O339" s="78" t="s">
        <v>2</v>
      </c>
    </row>
    <row r="340" spans="2:15" ht="14" customHeight="1" thickTop="1" thickBot="1" x14ac:dyDescent="0.2">
      <c r="B340" s="18">
        <v>1</v>
      </c>
      <c r="C340" s="100" t="str">
        <f t="shared" ref="C340:C346" si="97">C331</f>
        <v>6 h à 9 h 30</v>
      </c>
      <c r="D340" s="12">
        <v>0</v>
      </c>
      <c r="E340" s="12">
        <v>0</v>
      </c>
      <c r="F340" s="12">
        <v>0</v>
      </c>
      <c r="G340" s="12">
        <v>0</v>
      </c>
      <c r="H340" s="12">
        <v>0</v>
      </c>
      <c r="I340" s="12">
        <v>0</v>
      </c>
      <c r="J340" s="12">
        <v>0</v>
      </c>
      <c r="K340" s="12">
        <v>20</v>
      </c>
      <c r="L340" s="12">
        <v>0</v>
      </c>
      <c r="M340" s="12">
        <v>0</v>
      </c>
      <c r="N340" s="12">
        <v>0</v>
      </c>
      <c r="O340" s="12">
        <v>0</v>
      </c>
    </row>
    <row r="341" spans="2:15" ht="14" customHeight="1" thickTop="1" thickBot="1" x14ac:dyDescent="0.2">
      <c r="B341" s="121">
        <v>2</v>
      </c>
      <c r="C341" s="102" t="str">
        <f t="shared" si="97"/>
        <v>9 h 30 à 11 h 30</v>
      </c>
      <c r="D341" s="14">
        <v>0</v>
      </c>
      <c r="E341" s="14">
        <v>0</v>
      </c>
      <c r="F341" s="14">
        <v>0</v>
      </c>
      <c r="G341" s="14">
        <v>0</v>
      </c>
      <c r="H341" s="14">
        <v>0</v>
      </c>
      <c r="I341" s="14">
        <v>0</v>
      </c>
      <c r="J341" s="14">
        <v>0</v>
      </c>
      <c r="K341" s="14">
        <v>28</v>
      </c>
      <c r="L341" s="14">
        <v>0</v>
      </c>
      <c r="M341" s="14">
        <v>0</v>
      </c>
      <c r="N341" s="14">
        <v>0</v>
      </c>
      <c r="O341" s="14">
        <v>0</v>
      </c>
    </row>
    <row r="342" spans="2:15" ht="14" customHeight="1" thickTop="1" thickBot="1" x14ac:dyDescent="0.2">
      <c r="B342" s="121">
        <v>3</v>
      </c>
      <c r="C342" s="102" t="str">
        <f t="shared" si="97"/>
        <v>11 h 30 à 14 h 30</v>
      </c>
      <c r="D342" s="14">
        <v>0</v>
      </c>
      <c r="E342" s="14">
        <v>0</v>
      </c>
      <c r="F342" s="14">
        <v>0</v>
      </c>
      <c r="G342" s="14">
        <v>0</v>
      </c>
      <c r="H342" s="14">
        <v>0</v>
      </c>
      <c r="I342" s="14">
        <v>0</v>
      </c>
      <c r="J342" s="14">
        <v>0</v>
      </c>
      <c r="K342" s="14">
        <v>28</v>
      </c>
      <c r="L342" s="14">
        <v>0</v>
      </c>
      <c r="M342" s="14">
        <v>0</v>
      </c>
      <c r="N342" s="14">
        <v>0</v>
      </c>
      <c r="O342" s="14">
        <v>0</v>
      </c>
    </row>
    <row r="343" spans="2:15" ht="14" customHeight="1" thickTop="1" thickBot="1" x14ac:dyDescent="0.2">
      <c r="B343" s="121">
        <v>4</v>
      </c>
      <c r="C343" s="102" t="str">
        <f t="shared" si="97"/>
        <v>14 h 30 à 17 h</v>
      </c>
      <c r="D343" s="14">
        <v>0</v>
      </c>
      <c r="E343" s="14">
        <v>0</v>
      </c>
      <c r="F343" s="14">
        <v>0</v>
      </c>
      <c r="G343" s="14">
        <v>0</v>
      </c>
      <c r="H343" s="14">
        <v>0</v>
      </c>
      <c r="I343" s="14">
        <v>0</v>
      </c>
      <c r="J343" s="14">
        <v>0</v>
      </c>
      <c r="K343" s="14">
        <v>28</v>
      </c>
      <c r="L343" s="14">
        <v>0</v>
      </c>
      <c r="M343" s="14">
        <v>0</v>
      </c>
      <c r="N343" s="14">
        <v>0</v>
      </c>
      <c r="O343" s="14">
        <v>0</v>
      </c>
    </row>
    <row r="344" spans="2:15" ht="14" customHeight="1" thickTop="1" thickBot="1" x14ac:dyDescent="0.2">
      <c r="B344" s="121">
        <v>5</v>
      </c>
      <c r="C344" s="102" t="str">
        <f t="shared" si="97"/>
        <v>17 h à 19 h</v>
      </c>
      <c r="D344" s="14">
        <v>0</v>
      </c>
      <c r="E344" s="14">
        <v>0</v>
      </c>
      <c r="F344" s="14">
        <v>0</v>
      </c>
      <c r="G344" s="14">
        <v>0</v>
      </c>
      <c r="H344" s="14">
        <v>0</v>
      </c>
      <c r="I344" s="14">
        <v>0</v>
      </c>
      <c r="J344" s="14">
        <v>0</v>
      </c>
      <c r="K344" s="14">
        <v>28</v>
      </c>
      <c r="L344" s="14">
        <v>0</v>
      </c>
      <c r="M344" s="14">
        <v>0</v>
      </c>
      <c r="N344" s="14">
        <v>0</v>
      </c>
      <c r="O344" s="14">
        <v>0</v>
      </c>
    </row>
    <row r="345" spans="2:15" ht="14" customHeight="1" thickTop="1" thickBot="1" x14ac:dyDescent="0.2">
      <c r="B345" s="121">
        <v>6</v>
      </c>
      <c r="C345" s="102" t="str">
        <f t="shared" si="97"/>
        <v>19 h à 23 h</v>
      </c>
      <c r="D345" s="14">
        <v>0</v>
      </c>
      <c r="E345" s="14">
        <v>0</v>
      </c>
      <c r="F345" s="14">
        <v>0</v>
      </c>
      <c r="G345" s="14">
        <v>0</v>
      </c>
      <c r="H345" s="14">
        <v>0</v>
      </c>
      <c r="I345" s="14">
        <v>0</v>
      </c>
      <c r="J345" s="14">
        <v>0</v>
      </c>
      <c r="K345" s="14">
        <v>21</v>
      </c>
      <c r="L345" s="14">
        <v>0</v>
      </c>
      <c r="M345" s="14">
        <v>0</v>
      </c>
      <c r="N345" s="14">
        <v>0</v>
      </c>
      <c r="O345" s="14">
        <v>0</v>
      </c>
    </row>
    <row r="346" spans="2:15" ht="14" customHeight="1" thickTop="1" thickBot="1" x14ac:dyDescent="0.2">
      <c r="B346" s="121">
        <v>7</v>
      </c>
      <c r="C346" s="102" t="str">
        <f t="shared" si="97"/>
        <v>23 h à 6 h</v>
      </c>
      <c r="D346" s="14">
        <v>0</v>
      </c>
      <c r="E346" s="14">
        <v>0</v>
      </c>
      <c r="F346" s="14">
        <v>0</v>
      </c>
      <c r="G346" s="14">
        <v>0</v>
      </c>
      <c r="H346" s="14">
        <v>0</v>
      </c>
      <c r="I346" s="14">
        <v>0</v>
      </c>
      <c r="J346" s="14">
        <v>0</v>
      </c>
      <c r="K346" s="14">
        <v>0</v>
      </c>
      <c r="L346" s="14">
        <v>0</v>
      </c>
      <c r="M346" s="14">
        <v>0</v>
      </c>
      <c r="N346" s="14">
        <v>0</v>
      </c>
      <c r="O346" s="14">
        <v>0</v>
      </c>
    </row>
    <row r="347" spans="2:15" ht="14" customHeight="1" thickTop="1" thickBot="1" x14ac:dyDescent="0.2">
      <c r="B347" s="19"/>
      <c r="C347" s="21" t="str">
        <f t="shared" ref="C347" si="98">+C338</f>
        <v>Total</v>
      </c>
      <c r="D347" s="17">
        <f>+D340+D341+D342+D343+D344+D345+D346</f>
        <v>0</v>
      </c>
      <c r="E347" s="17">
        <f>+E340+E341+E342+E343+E344+E345+E346</f>
        <v>0</v>
      </c>
      <c r="F347" s="24">
        <f t="shared" ref="F347:M347" si="99">+F340+F341+F342+F343+F344+F345+F346</f>
        <v>0</v>
      </c>
      <c r="G347" s="24">
        <f t="shared" si="99"/>
        <v>0</v>
      </c>
      <c r="H347" s="24">
        <f t="shared" si="99"/>
        <v>0</v>
      </c>
      <c r="I347" s="24">
        <f t="shared" si="99"/>
        <v>0</v>
      </c>
      <c r="J347" s="24">
        <f t="shared" si="99"/>
        <v>0</v>
      </c>
      <c r="K347" s="24">
        <f t="shared" si="99"/>
        <v>153</v>
      </c>
      <c r="L347" s="24">
        <f t="shared" si="99"/>
        <v>0</v>
      </c>
      <c r="M347" s="17">
        <f t="shared" si="99"/>
        <v>0</v>
      </c>
      <c r="N347" s="24">
        <f>+N340+N341+N342+N343+N344+N345+N346</f>
        <v>0</v>
      </c>
      <c r="O347" s="24">
        <f>+O340+O341+O342+O343+O344+O345+O346</f>
        <v>0</v>
      </c>
    </row>
    <row r="348" spans="2:15" ht="14" customHeight="1" thickTop="1" thickBot="1" x14ac:dyDescent="0.2">
      <c r="B348" s="124" t="s">
        <v>2</v>
      </c>
      <c r="C348" s="125" t="str">
        <f>+'Calendrier 2021'!C46</f>
        <v>Mercredi</v>
      </c>
      <c r="D348" s="80" t="s">
        <v>2</v>
      </c>
      <c r="E348" s="80" t="s">
        <v>2</v>
      </c>
      <c r="F348" s="80" t="s">
        <v>2</v>
      </c>
      <c r="G348" s="80" t="s">
        <v>2</v>
      </c>
      <c r="H348" s="80" t="s">
        <v>2</v>
      </c>
      <c r="I348" s="80" t="s">
        <v>2</v>
      </c>
      <c r="J348" s="80" t="s">
        <v>2</v>
      </c>
      <c r="K348" s="80" t="s">
        <v>2</v>
      </c>
      <c r="L348" s="80" t="s">
        <v>2</v>
      </c>
      <c r="M348" s="80" t="s">
        <v>2</v>
      </c>
      <c r="N348" s="80" t="s">
        <v>2</v>
      </c>
      <c r="O348" s="81" t="s">
        <v>2</v>
      </c>
    </row>
    <row r="349" spans="2:15" ht="14" customHeight="1" thickTop="1" thickBot="1" x14ac:dyDescent="0.2">
      <c r="B349" s="18">
        <v>1</v>
      </c>
      <c r="C349" s="100" t="str">
        <f t="shared" ref="C349:C355" si="100">C340</f>
        <v>6 h à 9 h 30</v>
      </c>
      <c r="D349" s="12">
        <v>0</v>
      </c>
      <c r="E349" s="12">
        <v>0</v>
      </c>
      <c r="F349" s="12">
        <v>0</v>
      </c>
      <c r="G349" s="12">
        <v>0</v>
      </c>
      <c r="H349" s="12">
        <v>0</v>
      </c>
      <c r="I349" s="12">
        <v>0</v>
      </c>
      <c r="J349" s="12">
        <v>0</v>
      </c>
      <c r="K349" s="12">
        <v>0</v>
      </c>
      <c r="L349" s="12">
        <v>0</v>
      </c>
      <c r="M349" s="12">
        <v>0</v>
      </c>
      <c r="N349" s="12">
        <v>0</v>
      </c>
      <c r="O349" s="12">
        <v>0</v>
      </c>
    </row>
    <row r="350" spans="2:15" ht="14" customHeight="1" thickTop="1" thickBot="1" x14ac:dyDescent="0.2">
      <c r="B350" s="121">
        <v>2</v>
      </c>
      <c r="C350" s="102" t="str">
        <f t="shared" si="100"/>
        <v>9 h 30 à 11 h 30</v>
      </c>
      <c r="D350" s="14">
        <v>0</v>
      </c>
      <c r="E350" s="14">
        <v>0</v>
      </c>
      <c r="F350" s="14">
        <v>0</v>
      </c>
      <c r="G350" s="14">
        <v>0</v>
      </c>
      <c r="H350" s="14">
        <v>0</v>
      </c>
      <c r="I350" s="14">
        <v>0</v>
      </c>
      <c r="J350" s="14">
        <v>0</v>
      </c>
      <c r="K350" s="14">
        <v>0</v>
      </c>
      <c r="L350" s="14">
        <v>0</v>
      </c>
      <c r="M350" s="14">
        <v>0</v>
      </c>
      <c r="N350" s="14">
        <v>0</v>
      </c>
      <c r="O350" s="14">
        <v>0</v>
      </c>
    </row>
    <row r="351" spans="2:15" ht="14" customHeight="1" thickTop="1" thickBot="1" x14ac:dyDescent="0.2">
      <c r="B351" s="121">
        <v>3</v>
      </c>
      <c r="C351" s="102" t="str">
        <f t="shared" si="100"/>
        <v>11 h 30 à 14 h 30</v>
      </c>
      <c r="D351" s="14">
        <v>0</v>
      </c>
      <c r="E351" s="14">
        <v>0</v>
      </c>
      <c r="F351" s="14">
        <v>0</v>
      </c>
      <c r="G351" s="14">
        <v>0</v>
      </c>
      <c r="H351" s="14">
        <v>0</v>
      </c>
      <c r="I351" s="14">
        <v>0</v>
      </c>
      <c r="J351" s="14">
        <v>0</v>
      </c>
      <c r="K351" s="14">
        <v>0</v>
      </c>
      <c r="L351" s="14">
        <v>0</v>
      </c>
      <c r="M351" s="14">
        <v>0</v>
      </c>
      <c r="N351" s="14">
        <v>0</v>
      </c>
      <c r="O351" s="14">
        <v>0</v>
      </c>
    </row>
    <row r="352" spans="2:15" ht="14" customHeight="1" thickTop="1" thickBot="1" x14ac:dyDescent="0.2">
      <c r="B352" s="121">
        <v>4</v>
      </c>
      <c r="C352" s="102" t="str">
        <f t="shared" si="100"/>
        <v>14 h 30 à 17 h</v>
      </c>
      <c r="D352" s="14">
        <v>0</v>
      </c>
      <c r="E352" s="14">
        <v>0</v>
      </c>
      <c r="F352" s="14">
        <v>0</v>
      </c>
      <c r="G352" s="14">
        <v>0</v>
      </c>
      <c r="H352" s="14">
        <v>0</v>
      </c>
      <c r="I352" s="14">
        <v>0</v>
      </c>
      <c r="J352" s="14">
        <v>0</v>
      </c>
      <c r="K352" s="14">
        <v>0</v>
      </c>
      <c r="L352" s="14">
        <v>0</v>
      </c>
      <c r="M352" s="14">
        <v>0</v>
      </c>
      <c r="N352" s="14">
        <v>0</v>
      </c>
      <c r="O352" s="14">
        <v>0</v>
      </c>
    </row>
    <row r="353" spans="2:15" ht="14" customHeight="1" thickTop="1" thickBot="1" x14ac:dyDescent="0.2">
      <c r="B353" s="121">
        <v>5</v>
      </c>
      <c r="C353" s="102" t="str">
        <f t="shared" si="100"/>
        <v>17 h à 19 h</v>
      </c>
      <c r="D353" s="14">
        <v>0</v>
      </c>
      <c r="E353" s="14">
        <v>0</v>
      </c>
      <c r="F353" s="14">
        <v>0</v>
      </c>
      <c r="G353" s="14">
        <v>0</v>
      </c>
      <c r="H353" s="14">
        <v>0</v>
      </c>
      <c r="I353" s="14">
        <v>0</v>
      </c>
      <c r="J353" s="14">
        <v>0</v>
      </c>
      <c r="K353" s="14">
        <v>0</v>
      </c>
      <c r="L353" s="14">
        <v>0</v>
      </c>
      <c r="M353" s="14">
        <v>0</v>
      </c>
      <c r="N353" s="14">
        <v>0</v>
      </c>
      <c r="O353" s="14">
        <v>0</v>
      </c>
    </row>
    <row r="354" spans="2:15" ht="14" customHeight="1" thickTop="1" thickBot="1" x14ac:dyDescent="0.2">
      <c r="B354" s="121">
        <v>6</v>
      </c>
      <c r="C354" s="102" t="str">
        <f t="shared" si="100"/>
        <v>19 h à 23 h</v>
      </c>
      <c r="D354" s="14">
        <v>0</v>
      </c>
      <c r="E354" s="14">
        <v>0</v>
      </c>
      <c r="F354" s="14">
        <v>0</v>
      </c>
      <c r="G354" s="14">
        <v>0</v>
      </c>
      <c r="H354" s="14">
        <v>0</v>
      </c>
      <c r="I354" s="14">
        <v>0</v>
      </c>
      <c r="J354" s="14">
        <v>0</v>
      </c>
      <c r="K354" s="14">
        <v>0</v>
      </c>
      <c r="L354" s="14">
        <v>0</v>
      </c>
      <c r="M354" s="14">
        <v>0</v>
      </c>
      <c r="N354" s="14">
        <v>0</v>
      </c>
      <c r="O354" s="14">
        <v>0</v>
      </c>
    </row>
    <row r="355" spans="2:15" ht="14" customHeight="1" thickTop="1" thickBot="1" x14ac:dyDescent="0.2">
      <c r="B355" s="121">
        <v>7</v>
      </c>
      <c r="C355" s="102" t="str">
        <f t="shared" si="100"/>
        <v>23 h à 6 h</v>
      </c>
      <c r="D355" s="14">
        <v>0</v>
      </c>
      <c r="E355" s="14">
        <v>0</v>
      </c>
      <c r="F355" s="14">
        <v>0</v>
      </c>
      <c r="G355" s="14">
        <v>0</v>
      </c>
      <c r="H355" s="14">
        <v>0</v>
      </c>
      <c r="I355" s="14">
        <v>0</v>
      </c>
      <c r="J355" s="14">
        <v>0</v>
      </c>
      <c r="K355" s="14">
        <v>0</v>
      </c>
      <c r="L355" s="14">
        <v>0</v>
      </c>
      <c r="M355" s="14">
        <v>0</v>
      </c>
      <c r="N355" s="14">
        <v>0</v>
      </c>
      <c r="O355" s="14">
        <v>0</v>
      </c>
    </row>
    <row r="356" spans="2:15" ht="14" customHeight="1" thickTop="1" thickBot="1" x14ac:dyDescent="0.2">
      <c r="B356" s="19"/>
      <c r="C356" s="21" t="str">
        <f t="shared" ref="C356" si="101">+C338</f>
        <v>Total</v>
      </c>
      <c r="D356" s="126">
        <f t="shared" ref="D356:O356" si="102">+D349+D350+D351+D352+D353+D354+D355</f>
        <v>0</v>
      </c>
      <c r="E356" s="126">
        <f t="shared" si="102"/>
        <v>0</v>
      </c>
      <c r="F356" s="126">
        <f t="shared" si="102"/>
        <v>0</v>
      </c>
      <c r="G356" s="126">
        <f>+G349+G350+G351+G352+G353+G354+G355</f>
        <v>0</v>
      </c>
      <c r="H356" s="126">
        <f>+H349+H350+H351+H352+H353+H354+H355</f>
        <v>0</v>
      </c>
      <c r="I356" s="126">
        <f t="shared" si="102"/>
        <v>0</v>
      </c>
      <c r="J356" s="126">
        <f>+J349+J350+J351+J352+J353+J354+J355</f>
        <v>0</v>
      </c>
      <c r="K356" s="126">
        <f t="shared" si="102"/>
        <v>0</v>
      </c>
      <c r="L356" s="126">
        <f t="shared" si="102"/>
        <v>0</v>
      </c>
      <c r="M356" s="126">
        <f t="shared" si="102"/>
        <v>0</v>
      </c>
      <c r="N356" s="126">
        <f t="shared" si="102"/>
        <v>0</v>
      </c>
      <c r="O356" s="126">
        <f t="shared" si="102"/>
        <v>0</v>
      </c>
    </row>
    <row r="357" spans="2:15" ht="14" customHeight="1" thickTop="1" thickBot="1" x14ac:dyDescent="0.2">
      <c r="B357" s="124" t="s">
        <v>2</v>
      </c>
      <c r="C357" s="125" t="str">
        <f>+'Calendrier 2021'!C47</f>
        <v>Jeudi</v>
      </c>
      <c r="D357" s="80" t="s">
        <v>2</v>
      </c>
      <c r="E357" s="80" t="s">
        <v>2</v>
      </c>
      <c r="F357" s="80" t="s">
        <v>2</v>
      </c>
      <c r="G357" s="80" t="s">
        <v>2</v>
      </c>
      <c r="H357" s="80" t="s">
        <v>2</v>
      </c>
      <c r="I357" s="80" t="s">
        <v>2</v>
      </c>
      <c r="J357" s="80" t="s">
        <v>2</v>
      </c>
      <c r="K357" s="80" t="s">
        <v>2</v>
      </c>
      <c r="L357" s="80" t="s">
        <v>2</v>
      </c>
      <c r="M357" s="80" t="s">
        <v>2</v>
      </c>
      <c r="N357" s="80" t="s">
        <v>2</v>
      </c>
      <c r="O357" s="81" t="s">
        <v>2</v>
      </c>
    </row>
    <row r="358" spans="2:15" ht="14" customHeight="1" thickTop="1" thickBot="1" x14ac:dyDescent="0.2">
      <c r="B358" s="18">
        <v>1</v>
      </c>
      <c r="C358" s="100" t="str">
        <f t="shared" ref="C358:C364" si="103">C349</f>
        <v>6 h à 9 h 30</v>
      </c>
      <c r="D358" s="12">
        <v>0</v>
      </c>
      <c r="E358" s="12">
        <v>0</v>
      </c>
      <c r="F358" s="12">
        <v>0</v>
      </c>
      <c r="G358" s="12">
        <v>0</v>
      </c>
      <c r="H358" s="12">
        <v>0</v>
      </c>
      <c r="I358" s="12">
        <v>0</v>
      </c>
      <c r="J358" s="12">
        <v>0</v>
      </c>
      <c r="K358" s="12">
        <v>0</v>
      </c>
      <c r="L358" s="12">
        <v>0</v>
      </c>
      <c r="M358" s="12">
        <v>0</v>
      </c>
      <c r="N358" s="12">
        <v>0</v>
      </c>
      <c r="O358" s="12">
        <v>0</v>
      </c>
    </row>
    <row r="359" spans="2:15" ht="14" customHeight="1" thickTop="1" thickBot="1" x14ac:dyDescent="0.2">
      <c r="B359" s="121">
        <v>2</v>
      </c>
      <c r="C359" s="102" t="str">
        <f t="shared" si="103"/>
        <v>9 h 30 à 11 h 30</v>
      </c>
      <c r="D359" s="14">
        <v>0</v>
      </c>
      <c r="E359" s="14">
        <v>0</v>
      </c>
      <c r="F359" s="14">
        <v>0</v>
      </c>
      <c r="G359" s="14">
        <v>0</v>
      </c>
      <c r="H359" s="14">
        <v>0</v>
      </c>
      <c r="I359" s="14">
        <v>0</v>
      </c>
      <c r="J359" s="14">
        <v>0</v>
      </c>
      <c r="K359" s="14">
        <v>0</v>
      </c>
      <c r="L359" s="14">
        <v>0</v>
      </c>
      <c r="M359" s="14">
        <v>0</v>
      </c>
      <c r="N359" s="14">
        <v>0</v>
      </c>
      <c r="O359" s="14">
        <v>0</v>
      </c>
    </row>
    <row r="360" spans="2:15" ht="14" customHeight="1" thickTop="1" thickBot="1" x14ac:dyDescent="0.2">
      <c r="B360" s="121">
        <v>3</v>
      </c>
      <c r="C360" s="102" t="str">
        <f t="shared" si="103"/>
        <v>11 h 30 à 14 h 30</v>
      </c>
      <c r="D360" s="14">
        <v>0</v>
      </c>
      <c r="E360" s="14">
        <v>0</v>
      </c>
      <c r="F360" s="14">
        <v>0</v>
      </c>
      <c r="G360" s="14">
        <v>0</v>
      </c>
      <c r="H360" s="14">
        <v>0</v>
      </c>
      <c r="I360" s="14">
        <v>0</v>
      </c>
      <c r="J360" s="14">
        <v>0</v>
      </c>
      <c r="K360" s="14">
        <v>0</v>
      </c>
      <c r="L360" s="14">
        <v>0</v>
      </c>
      <c r="M360" s="14">
        <v>0</v>
      </c>
      <c r="N360" s="14">
        <v>0</v>
      </c>
      <c r="O360" s="14">
        <v>0</v>
      </c>
    </row>
    <row r="361" spans="2:15" ht="14" customHeight="1" thickTop="1" thickBot="1" x14ac:dyDescent="0.2">
      <c r="B361" s="121">
        <v>4</v>
      </c>
      <c r="C361" s="102" t="str">
        <f t="shared" si="103"/>
        <v>14 h 30 à 17 h</v>
      </c>
      <c r="D361" s="14">
        <v>0</v>
      </c>
      <c r="E361" s="14">
        <v>0</v>
      </c>
      <c r="F361" s="14">
        <v>0</v>
      </c>
      <c r="G361" s="14">
        <v>0</v>
      </c>
      <c r="H361" s="14">
        <v>0</v>
      </c>
      <c r="I361" s="14">
        <v>0</v>
      </c>
      <c r="J361" s="14">
        <v>0</v>
      </c>
      <c r="K361" s="14">
        <v>0</v>
      </c>
      <c r="L361" s="14">
        <v>0</v>
      </c>
      <c r="M361" s="14">
        <v>0</v>
      </c>
      <c r="N361" s="14">
        <v>0</v>
      </c>
      <c r="O361" s="14">
        <v>0</v>
      </c>
    </row>
    <row r="362" spans="2:15" ht="14" customHeight="1" thickTop="1" thickBot="1" x14ac:dyDescent="0.2">
      <c r="B362" s="121">
        <v>5</v>
      </c>
      <c r="C362" s="102" t="str">
        <f t="shared" si="103"/>
        <v>17 h à 19 h</v>
      </c>
      <c r="D362" s="14">
        <v>0</v>
      </c>
      <c r="E362" s="14">
        <v>0</v>
      </c>
      <c r="F362" s="14">
        <v>0</v>
      </c>
      <c r="G362" s="14">
        <v>0</v>
      </c>
      <c r="H362" s="14">
        <v>0</v>
      </c>
      <c r="I362" s="14">
        <v>0</v>
      </c>
      <c r="J362" s="14">
        <v>0</v>
      </c>
      <c r="K362" s="14">
        <v>0</v>
      </c>
      <c r="L362" s="14">
        <v>0</v>
      </c>
      <c r="M362" s="14">
        <v>0</v>
      </c>
      <c r="N362" s="14">
        <v>0</v>
      </c>
      <c r="O362" s="14">
        <v>0</v>
      </c>
    </row>
    <row r="363" spans="2:15" ht="14" customHeight="1" thickTop="1" thickBot="1" x14ac:dyDescent="0.2">
      <c r="B363" s="121">
        <v>6</v>
      </c>
      <c r="C363" s="102" t="str">
        <f t="shared" si="103"/>
        <v>19 h à 23 h</v>
      </c>
      <c r="D363" s="14">
        <v>0</v>
      </c>
      <c r="E363" s="14">
        <v>0</v>
      </c>
      <c r="F363" s="14">
        <v>0</v>
      </c>
      <c r="G363" s="14">
        <v>0</v>
      </c>
      <c r="H363" s="14">
        <v>0</v>
      </c>
      <c r="I363" s="14">
        <v>0</v>
      </c>
      <c r="J363" s="14">
        <v>0</v>
      </c>
      <c r="K363" s="14">
        <v>0</v>
      </c>
      <c r="L363" s="14">
        <v>0</v>
      </c>
      <c r="M363" s="14">
        <v>0</v>
      </c>
      <c r="N363" s="14">
        <v>0</v>
      </c>
      <c r="O363" s="14">
        <v>0</v>
      </c>
    </row>
    <row r="364" spans="2:15" ht="14" customHeight="1" thickTop="1" thickBot="1" x14ac:dyDescent="0.2">
      <c r="B364" s="121">
        <v>7</v>
      </c>
      <c r="C364" s="102" t="str">
        <f t="shared" si="103"/>
        <v>23 h à 6 h</v>
      </c>
      <c r="D364" s="14">
        <v>0</v>
      </c>
      <c r="E364" s="14">
        <v>0</v>
      </c>
      <c r="F364" s="14">
        <v>0</v>
      </c>
      <c r="G364" s="14">
        <v>0</v>
      </c>
      <c r="H364" s="14">
        <v>0</v>
      </c>
      <c r="I364" s="14">
        <v>0</v>
      </c>
      <c r="J364" s="14">
        <v>0</v>
      </c>
      <c r="K364" s="14">
        <v>0</v>
      </c>
      <c r="L364" s="14">
        <v>0</v>
      </c>
      <c r="M364" s="14">
        <v>0</v>
      </c>
      <c r="N364" s="14">
        <v>0</v>
      </c>
      <c r="O364" s="14">
        <v>0</v>
      </c>
    </row>
    <row r="365" spans="2:15" ht="14" customHeight="1" thickTop="1" thickBot="1" x14ac:dyDescent="0.2">
      <c r="B365" s="19"/>
      <c r="C365" s="21" t="str">
        <f>+C356</f>
        <v>Total</v>
      </c>
      <c r="D365" s="126">
        <f>+D358+D359+D360+D361+D362+D363+D364</f>
        <v>0</v>
      </c>
      <c r="E365" s="126">
        <f t="shared" ref="E365:O365" si="104">+E358+E359+E360+E361+E362+E363+E364</f>
        <v>0</v>
      </c>
      <c r="F365" s="126">
        <f t="shared" si="104"/>
        <v>0</v>
      </c>
      <c r="G365" s="126">
        <f>+G358+G359+G360+G361+G362+G363+G364</f>
        <v>0</v>
      </c>
      <c r="H365" s="126">
        <f t="shared" si="104"/>
        <v>0</v>
      </c>
      <c r="I365" s="126">
        <f t="shared" si="104"/>
        <v>0</v>
      </c>
      <c r="J365" s="126">
        <f t="shared" si="104"/>
        <v>0</v>
      </c>
      <c r="K365" s="126">
        <f t="shared" si="104"/>
        <v>0</v>
      </c>
      <c r="L365" s="126">
        <f t="shared" si="104"/>
        <v>0</v>
      </c>
      <c r="M365" s="126">
        <f t="shared" si="104"/>
        <v>0</v>
      </c>
      <c r="N365" s="126">
        <f t="shared" si="104"/>
        <v>0</v>
      </c>
      <c r="O365" s="126">
        <f t="shared" si="104"/>
        <v>0</v>
      </c>
    </row>
    <row r="366" spans="2:15" ht="14" customHeight="1" thickTop="1" thickBot="1" x14ac:dyDescent="0.2">
      <c r="B366" s="124" t="s">
        <v>2</v>
      </c>
      <c r="C366" s="125" t="str">
        <f>+'Calendrier 2021'!C48</f>
        <v>Vendredi</v>
      </c>
      <c r="D366" s="80" t="s">
        <v>2</v>
      </c>
      <c r="E366" s="80" t="s">
        <v>2</v>
      </c>
      <c r="F366" s="80" t="s">
        <v>2</v>
      </c>
      <c r="G366" s="80" t="s">
        <v>2</v>
      </c>
      <c r="H366" s="80" t="s">
        <v>2</v>
      </c>
      <c r="I366" s="80" t="s">
        <v>2</v>
      </c>
      <c r="J366" s="80" t="s">
        <v>2</v>
      </c>
      <c r="K366" s="80" t="s">
        <v>2</v>
      </c>
      <c r="L366" s="80" t="s">
        <v>2</v>
      </c>
      <c r="M366" s="80" t="s">
        <v>2</v>
      </c>
      <c r="N366" s="80" t="s">
        <v>2</v>
      </c>
      <c r="O366" s="81" t="s">
        <v>2</v>
      </c>
    </row>
    <row r="367" spans="2:15" ht="14" customHeight="1" thickTop="1" thickBot="1" x14ac:dyDescent="0.2">
      <c r="B367" s="18">
        <v>1</v>
      </c>
      <c r="C367" s="100" t="str">
        <f t="shared" ref="C367:C373" si="105">C358</f>
        <v>6 h à 9 h 30</v>
      </c>
      <c r="D367" s="12">
        <v>0</v>
      </c>
      <c r="E367" s="12">
        <v>0</v>
      </c>
      <c r="F367" s="12">
        <v>0</v>
      </c>
      <c r="G367" s="12">
        <v>0</v>
      </c>
      <c r="H367" s="12">
        <v>0</v>
      </c>
      <c r="I367" s="12">
        <v>0</v>
      </c>
      <c r="J367" s="12">
        <v>0</v>
      </c>
      <c r="K367" s="12">
        <v>0</v>
      </c>
      <c r="L367" s="12">
        <v>0</v>
      </c>
      <c r="M367" s="12">
        <v>0</v>
      </c>
      <c r="N367" s="12">
        <v>0</v>
      </c>
      <c r="O367" s="12">
        <v>0</v>
      </c>
    </row>
    <row r="368" spans="2:15" ht="14" customHeight="1" thickTop="1" thickBot="1" x14ac:dyDescent="0.2">
      <c r="B368" s="121">
        <v>2</v>
      </c>
      <c r="C368" s="102" t="str">
        <f t="shared" si="105"/>
        <v>9 h 30 à 11 h 30</v>
      </c>
      <c r="D368" s="14">
        <v>0</v>
      </c>
      <c r="E368" s="14">
        <v>0</v>
      </c>
      <c r="F368" s="14">
        <v>0</v>
      </c>
      <c r="G368" s="14">
        <v>0</v>
      </c>
      <c r="H368" s="14">
        <v>0</v>
      </c>
      <c r="I368" s="14">
        <v>0</v>
      </c>
      <c r="J368" s="14">
        <v>0</v>
      </c>
      <c r="K368" s="14">
        <v>0</v>
      </c>
      <c r="L368" s="14">
        <v>0</v>
      </c>
      <c r="M368" s="14">
        <v>0</v>
      </c>
      <c r="N368" s="14">
        <v>0</v>
      </c>
      <c r="O368" s="14">
        <v>0</v>
      </c>
    </row>
    <row r="369" spans="2:15" ht="14" customHeight="1" thickTop="1" thickBot="1" x14ac:dyDescent="0.2">
      <c r="B369" s="121">
        <v>3</v>
      </c>
      <c r="C369" s="102" t="str">
        <f t="shared" si="105"/>
        <v>11 h 30 à 14 h 30</v>
      </c>
      <c r="D369" s="14">
        <v>0</v>
      </c>
      <c r="E369" s="14">
        <v>0</v>
      </c>
      <c r="F369" s="14">
        <v>0</v>
      </c>
      <c r="G369" s="14">
        <v>0</v>
      </c>
      <c r="H369" s="14">
        <v>0</v>
      </c>
      <c r="I369" s="14">
        <v>0</v>
      </c>
      <c r="J369" s="14">
        <v>0</v>
      </c>
      <c r="K369" s="14">
        <v>0</v>
      </c>
      <c r="L369" s="14">
        <v>0</v>
      </c>
      <c r="M369" s="14">
        <v>0</v>
      </c>
      <c r="N369" s="14">
        <v>0</v>
      </c>
      <c r="O369" s="14">
        <v>0</v>
      </c>
    </row>
    <row r="370" spans="2:15" ht="14" customHeight="1" thickTop="1" thickBot="1" x14ac:dyDescent="0.2">
      <c r="B370" s="121">
        <v>4</v>
      </c>
      <c r="C370" s="102" t="str">
        <f t="shared" si="105"/>
        <v>14 h 30 à 17 h</v>
      </c>
      <c r="D370" s="14">
        <v>0</v>
      </c>
      <c r="E370" s="14">
        <v>0</v>
      </c>
      <c r="F370" s="14">
        <v>0</v>
      </c>
      <c r="G370" s="14">
        <v>0</v>
      </c>
      <c r="H370" s="14">
        <v>0</v>
      </c>
      <c r="I370" s="14">
        <v>0</v>
      </c>
      <c r="J370" s="14">
        <v>0</v>
      </c>
      <c r="K370" s="14">
        <v>0</v>
      </c>
      <c r="L370" s="14">
        <v>0</v>
      </c>
      <c r="M370" s="14">
        <v>0</v>
      </c>
      <c r="N370" s="14">
        <v>0</v>
      </c>
      <c r="O370" s="14">
        <v>0</v>
      </c>
    </row>
    <row r="371" spans="2:15" ht="14" customHeight="1" thickTop="1" thickBot="1" x14ac:dyDescent="0.2">
      <c r="B371" s="121">
        <v>5</v>
      </c>
      <c r="C371" s="102" t="str">
        <f t="shared" si="105"/>
        <v>17 h à 19 h</v>
      </c>
      <c r="D371" s="14">
        <v>0</v>
      </c>
      <c r="E371" s="14">
        <v>0</v>
      </c>
      <c r="F371" s="14">
        <v>0</v>
      </c>
      <c r="G371" s="14">
        <v>0</v>
      </c>
      <c r="H371" s="14">
        <v>0</v>
      </c>
      <c r="I371" s="14">
        <v>0</v>
      </c>
      <c r="J371" s="14">
        <v>0</v>
      </c>
      <c r="K371" s="14">
        <v>0</v>
      </c>
      <c r="L371" s="14">
        <v>0</v>
      </c>
      <c r="M371" s="14">
        <v>0</v>
      </c>
      <c r="N371" s="14">
        <v>0</v>
      </c>
      <c r="O371" s="14">
        <v>0</v>
      </c>
    </row>
    <row r="372" spans="2:15" ht="14" customHeight="1" thickTop="1" thickBot="1" x14ac:dyDescent="0.2">
      <c r="B372" s="121">
        <v>6</v>
      </c>
      <c r="C372" s="102" t="str">
        <f t="shared" si="105"/>
        <v>19 h à 23 h</v>
      </c>
      <c r="D372" s="14">
        <v>0</v>
      </c>
      <c r="E372" s="14">
        <v>0</v>
      </c>
      <c r="F372" s="14">
        <v>0</v>
      </c>
      <c r="G372" s="14">
        <v>0</v>
      </c>
      <c r="H372" s="14">
        <v>0</v>
      </c>
      <c r="I372" s="14">
        <v>0</v>
      </c>
      <c r="J372" s="14">
        <v>0</v>
      </c>
      <c r="K372" s="14">
        <v>0</v>
      </c>
      <c r="L372" s="14">
        <v>0</v>
      </c>
      <c r="M372" s="14">
        <v>0</v>
      </c>
      <c r="N372" s="14">
        <v>0</v>
      </c>
      <c r="O372" s="14">
        <v>0</v>
      </c>
    </row>
    <row r="373" spans="2:15" ht="14" customHeight="1" thickTop="1" thickBot="1" x14ac:dyDescent="0.2">
      <c r="B373" s="121">
        <v>7</v>
      </c>
      <c r="C373" s="102" t="str">
        <f t="shared" si="105"/>
        <v>23 h à 6 h</v>
      </c>
      <c r="D373" s="14">
        <v>0</v>
      </c>
      <c r="E373" s="14">
        <v>0</v>
      </c>
      <c r="F373" s="14">
        <v>0</v>
      </c>
      <c r="G373" s="14">
        <v>0</v>
      </c>
      <c r="H373" s="14">
        <v>0</v>
      </c>
      <c r="I373" s="14">
        <v>0</v>
      </c>
      <c r="J373" s="14">
        <v>0</v>
      </c>
      <c r="K373" s="14">
        <v>0</v>
      </c>
      <c r="L373" s="14">
        <v>0</v>
      </c>
      <c r="M373" s="14">
        <v>0</v>
      </c>
      <c r="N373" s="14">
        <v>0</v>
      </c>
      <c r="O373" s="14">
        <v>0</v>
      </c>
    </row>
    <row r="374" spans="2:15" ht="14" customHeight="1" thickTop="1" thickBot="1" x14ac:dyDescent="0.2">
      <c r="B374" s="19"/>
      <c r="C374" s="21" t="str">
        <f t="shared" ref="C374" si="106">+C365</f>
        <v>Total</v>
      </c>
      <c r="D374" s="126">
        <f>+D367+D368+D369+D370+D371+D372+D373</f>
        <v>0</v>
      </c>
      <c r="E374" s="126">
        <f>+E367+E368+E369+E370+E371+E372+E373</f>
        <v>0</v>
      </c>
      <c r="F374" s="59">
        <f t="shared" ref="F374:L374" si="107">+F367+F368+F369+F370+F371+F372+F373</f>
        <v>0</v>
      </c>
      <c r="G374" s="59">
        <f t="shared" si="107"/>
        <v>0</v>
      </c>
      <c r="H374" s="59">
        <f t="shared" si="107"/>
        <v>0</v>
      </c>
      <c r="I374" s="59">
        <f t="shared" si="107"/>
        <v>0</v>
      </c>
      <c r="J374" s="59">
        <f t="shared" si="107"/>
        <v>0</v>
      </c>
      <c r="K374" s="59">
        <f t="shared" si="107"/>
        <v>0</v>
      </c>
      <c r="L374" s="59">
        <f t="shared" si="107"/>
        <v>0</v>
      </c>
      <c r="M374" s="59">
        <f>+M367+M368+M369+M370+M371+M372+M373</f>
        <v>0</v>
      </c>
      <c r="N374" s="59">
        <f>+N367+N368+N369+N370+N371+N372+N373</f>
        <v>0</v>
      </c>
      <c r="O374" s="59">
        <f>+O367+O368+O369+O370+O371+O372+O373</f>
        <v>0</v>
      </c>
    </row>
    <row r="375" spans="2:15" ht="14" customHeight="1" thickTop="1" thickBot="1" x14ac:dyDescent="0.2">
      <c r="B375" s="124" t="s">
        <v>2</v>
      </c>
      <c r="C375" s="125" t="str">
        <f>+'Calendrier 2021'!C49</f>
        <v>Samedi</v>
      </c>
      <c r="D375" s="80" t="s">
        <v>2</v>
      </c>
      <c r="E375" s="80" t="s">
        <v>2</v>
      </c>
      <c r="F375" s="80" t="s">
        <v>2</v>
      </c>
      <c r="G375" s="80" t="s">
        <v>2</v>
      </c>
      <c r="H375" s="80" t="s">
        <v>2</v>
      </c>
      <c r="I375" s="80" t="s">
        <v>2</v>
      </c>
      <c r="J375" s="80" t="s">
        <v>2</v>
      </c>
      <c r="K375" s="80" t="s">
        <v>2</v>
      </c>
      <c r="L375" s="80" t="s">
        <v>2</v>
      </c>
      <c r="M375" s="80" t="s">
        <v>2</v>
      </c>
      <c r="N375" s="80" t="s">
        <v>2</v>
      </c>
      <c r="O375" s="81" t="s">
        <v>2</v>
      </c>
    </row>
    <row r="376" spans="2:15" ht="14" customHeight="1" thickTop="1" thickBot="1" x14ac:dyDescent="0.2">
      <c r="B376" s="18">
        <v>1</v>
      </c>
      <c r="C376" s="100" t="str">
        <f t="shared" ref="C376:C382" si="108">C367</f>
        <v>6 h à 9 h 30</v>
      </c>
      <c r="D376" s="12">
        <v>0</v>
      </c>
      <c r="E376" s="12">
        <v>0</v>
      </c>
      <c r="F376" s="12">
        <v>0</v>
      </c>
      <c r="G376" s="12">
        <v>0</v>
      </c>
      <c r="H376" s="12">
        <v>0</v>
      </c>
      <c r="I376" s="12">
        <v>0</v>
      </c>
      <c r="J376" s="12">
        <v>0</v>
      </c>
      <c r="K376" s="12">
        <v>0</v>
      </c>
      <c r="L376" s="12">
        <v>0</v>
      </c>
      <c r="M376" s="12">
        <v>0</v>
      </c>
      <c r="N376" s="12">
        <v>0</v>
      </c>
      <c r="O376" s="12">
        <v>0</v>
      </c>
    </row>
    <row r="377" spans="2:15" ht="14" customHeight="1" thickTop="1" thickBot="1" x14ac:dyDescent="0.2">
      <c r="B377" s="18">
        <v>2</v>
      </c>
      <c r="C377" s="102" t="str">
        <f t="shared" si="108"/>
        <v>9 h 30 à 11 h 30</v>
      </c>
      <c r="D377" s="14">
        <v>0</v>
      </c>
      <c r="E377" s="14">
        <v>0</v>
      </c>
      <c r="F377" s="14">
        <v>0</v>
      </c>
      <c r="G377" s="14">
        <v>0</v>
      </c>
      <c r="H377" s="14">
        <v>0</v>
      </c>
      <c r="I377" s="14">
        <v>0</v>
      </c>
      <c r="J377" s="14">
        <v>0</v>
      </c>
      <c r="K377" s="14">
        <v>0</v>
      </c>
      <c r="L377" s="14">
        <v>0</v>
      </c>
      <c r="M377" s="14">
        <v>0</v>
      </c>
      <c r="N377" s="14">
        <v>0</v>
      </c>
      <c r="O377" s="14">
        <v>0</v>
      </c>
    </row>
    <row r="378" spans="2:15" ht="14" customHeight="1" thickTop="1" thickBot="1" x14ac:dyDescent="0.2">
      <c r="B378" s="18">
        <v>3</v>
      </c>
      <c r="C378" s="102" t="str">
        <f t="shared" si="108"/>
        <v>11 h 30 à 14 h 30</v>
      </c>
      <c r="D378" s="14">
        <v>0</v>
      </c>
      <c r="E378" s="14">
        <v>0</v>
      </c>
      <c r="F378" s="14">
        <v>0</v>
      </c>
      <c r="G378" s="14">
        <v>0</v>
      </c>
      <c r="H378" s="14">
        <v>0</v>
      </c>
      <c r="I378" s="14">
        <v>0</v>
      </c>
      <c r="J378" s="14">
        <v>0</v>
      </c>
      <c r="K378" s="14">
        <v>0</v>
      </c>
      <c r="L378" s="14">
        <v>0</v>
      </c>
      <c r="M378" s="14">
        <v>0</v>
      </c>
      <c r="N378" s="14">
        <v>0</v>
      </c>
      <c r="O378" s="14">
        <v>0</v>
      </c>
    </row>
    <row r="379" spans="2:15" ht="14" customHeight="1" thickTop="1" thickBot="1" x14ac:dyDescent="0.2">
      <c r="B379" s="18">
        <v>4</v>
      </c>
      <c r="C379" s="102" t="str">
        <f t="shared" si="108"/>
        <v>14 h 30 à 17 h</v>
      </c>
      <c r="D379" s="14">
        <v>0</v>
      </c>
      <c r="E379" s="14">
        <v>0</v>
      </c>
      <c r="F379" s="14">
        <v>0</v>
      </c>
      <c r="G379" s="14">
        <v>0</v>
      </c>
      <c r="H379" s="14">
        <v>0</v>
      </c>
      <c r="I379" s="14">
        <v>0</v>
      </c>
      <c r="J379" s="14">
        <v>0</v>
      </c>
      <c r="K379" s="14">
        <v>0</v>
      </c>
      <c r="L379" s="14">
        <v>0</v>
      </c>
      <c r="M379" s="14">
        <v>0</v>
      </c>
      <c r="N379" s="14">
        <v>0</v>
      </c>
      <c r="O379" s="14">
        <v>0</v>
      </c>
    </row>
    <row r="380" spans="2:15" ht="14" customHeight="1" thickTop="1" thickBot="1" x14ac:dyDescent="0.2">
      <c r="B380" s="18">
        <v>5</v>
      </c>
      <c r="C380" s="102" t="str">
        <f t="shared" si="108"/>
        <v>17 h à 19 h</v>
      </c>
      <c r="D380" s="14">
        <v>0</v>
      </c>
      <c r="E380" s="14">
        <v>0</v>
      </c>
      <c r="F380" s="14">
        <v>0</v>
      </c>
      <c r="G380" s="14">
        <v>0</v>
      </c>
      <c r="H380" s="14">
        <v>0</v>
      </c>
      <c r="I380" s="14">
        <v>0</v>
      </c>
      <c r="J380" s="14">
        <v>0</v>
      </c>
      <c r="K380" s="14">
        <v>0</v>
      </c>
      <c r="L380" s="14">
        <v>0</v>
      </c>
      <c r="M380" s="14">
        <v>0</v>
      </c>
      <c r="N380" s="14">
        <v>0</v>
      </c>
      <c r="O380" s="14">
        <v>0</v>
      </c>
    </row>
    <row r="381" spans="2:15" ht="14" customHeight="1" thickTop="1" thickBot="1" x14ac:dyDescent="0.2">
      <c r="B381" s="18">
        <v>6</v>
      </c>
      <c r="C381" s="102" t="str">
        <f t="shared" si="108"/>
        <v>19 h à 23 h</v>
      </c>
      <c r="D381" s="14">
        <v>0</v>
      </c>
      <c r="E381" s="14">
        <v>0</v>
      </c>
      <c r="F381" s="14">
        <v>0</v>
      </c>
      <c r="G381" s="14">
        <v>0</v>
      </c>
      <c r="H381" s="14">
        <v>0</v>
      </c>
      <c r="I381" s="14">
        <v>0</v>
      </c>
      <c r="J381" s="14">
        <v>0</v>
      </c>
      <c r="K381" s="14">
        <v>0</v>
      </c>
      <c r="L381" s="14">
        <v>0</v>
      </c>
      <c r="M381" s="14">
        <v>0</v>
      </c>
      <c r="N381" s="14">
        <v>0</v>
      </c>
      <c r="O381" s="14">
        <v>0</v>
      </c>
    </row>
    <row r="382" spans="2:15" ht="14" customHeight="1" thickTop="1" thickBot="1" x14ac:dyDescent="0.2">
      <c r="B382" s="18">
        <v>7</v>
      </c>
      <c r="C382" s="102" t="str">
        <f t="shared" si="108"/>
        <v>23 h à 6 h</v>
      </c>
      <c r="D382" s="14">
        <v>0</v>
      </c>
      <c r="E382" s="14">
        <v>0</v>
      </c>
      <c r="F382" s="14">
        <v>0</v>
      </c>
      <c r="G382" s="14">
        <v>0</v>
      </c>
      <c r="H382" s="14">
        <v>0</v>
      </c>
      <c r="I382" s="14">
        <v>0</v>
      </c>
      <c r="J382" s="14">
        <v>0</v>
      </c>
      <c r="K382" s="14">
        <v>0</v>
      </c>
      <c r="L382" s="14">
        <v>0</v>
      </c>
      <c r="M382" s="14">
        <v>0</v>
      </c>
      <c r="N382" s="14">
        <v>0</v>
      </c>
      <c r="O382" s="14">
        <v>0</v>
      </c>
    </row>
    <row r="383" spans="2:15" ht="14" customHeight="1" thickTop="1" thickBot="1" x14ac:dyDescent="0.2">
      <c r="B383" s="19"/>
      <c r="C383" s="21" t="str">
        <f t="shared" ref="C383" si="109">+C374</f>
        <v>Total</v>
      </c>
      <c r="D383" s="126">
        <f>+D376+D377+D378+D379+D380+D381+D382</f>
        <v>0</v>
      </c>
      <c r="E383" s="126">
        <f>+E376+E377+E378+E379+E380+E381+E382</f>
        <v>0</v>
      </c>
      <c r="F383" s="59">
        <f t="shared" ref="F383:L383" si="110">+F376+F377+F378+F379+F380+F381+F382</f>
        <v>0</v>
      </c>
      <c r="G383" s="59">
        <f t="shared" si="110"/>
        <v>0</v>
      </c>
      <c r="H383" s="59">
        <f t="shared" si="110"/>
        <v>0</v>
      </c>
      <c r="I383" s="59">
        <f t="shared" si="110"/>
        <v>0</v>
      </c>
      <c r="J383" s="59">
        <f t="shared" si="110"/>
        <v>0</v>
      </c>
      <c r="K383" s="59">
        <f t="shared" si="110"/>
        <v>0</v>
      </c>
      <c r="L383" s="59">
        <f t="shared" si="110"/>
        <v>0</v>
      </c>
      <c r="M383" s="59">
        <f>+M376+M377+M378+M379+M380+M381+M382</f>
        <v>0</v>
      </c>
      <c r="N383" s="59">
        <f>+N376+N377+N378+N379+N380+N381+N382</f>
        <v>0</v>
      </c>
      <c r="O383" s="59">
        <f>+O376+O377+O378+O379+O380+O381+O382</f>
        <v>0</v>
      </c>
    </row>
    <row r="384" spans="2:15" ht="14" customHeight="1" thickTop="1" thickBot="1" x14ac:dyDescent="0.2">
      <c r="B384" s="124" t="s">
        <v>2</v>
      </c>
      <c r="C384" s="125" t="str">
        <f>+'Calendrier 2021'!C50</f>
        <v>Dimanche</v>
      </c>
      <c r="D384" s="77" t="s">
        <v>2</v>
      </c>
      <c r="E384" s="77" t="s">
        <v>2</v>
      </c>
      <c r="F384" s="77" t="s">
        <v>2</v>
      </c>
      <c r="G384" s="77" t="s">
        <v>2</v>
      </c>
      <c r="H384" s="77" t="s">
        <v>2</v>
      </c>
      <c r="I384" s="77" t="s">
        <v>2</v>
      </c>
      <c r="J384" s="77" t="s">
        <v>2</v>
      </c>
      <c r="K384" s="77" t="s">
        <v>2</v>
      </c>
      <c r="L384" s="77" t="s">
        <v>2</v>
      </c>
      <c r="M384" s="77" t="s">
        <v>2</v>
      </c>
      <c r="N384" s="77" t="s">
        <v>2</v>
      </c>
      <c r="O384" s="78" t="s">
        <v>2</v>
      </c>
    </row>
    <row r="385" spans="2:19" ht="14" customHeight="1" thickTop="1" thickBot="1" x14ac:dyDescent="0.2">
      <c r="B385" s="121">
        <v>1</v>
      </c>
      <c r="C385" s="100" t="str">
        <f t="shared" ref="C385:C391" si="111">C376</f>
        <v>6 h à 9 h 30</v>
      </c>
      <c r="D385" s="12">
        <v>0</v>
      </c>
      <c r="E385" s="12">
        <v>0</v>
      </c>
      <c r="F385" s="12">
        <v>0</v>
      </c>
      <c r="G385" s="12">
        <v>0</v>
      </c>
      <c r="H385" s="12">
        <v>0</v>
      </c>
      <c r="I385" s="12">
        <v>0</v>
      </c>
      <c r="J385" s="12">
        <v>0</v>
      </c>
      <c r="K385" s="12">
        <v>0</v>
      </c>
      <c r="L385" s="12">
        <v>0</v>
      </c>
      <c r="M385" s="12">
        <v>0</v>
      </c>
      <c r="N385" s="12">
        <v>0</v>
      </c>
      <c r="O385" s="12">
        <v>0</v>
      </c>
    </row>
    <row r="386" spans="2:19" ht="14" customHeight="1" thickTop="1" thickBot="1" x14ac:dyDescent="0.2">
      <c r="B386" s="18">
        <v>2</v>
      </c>
      <c r="C386" s="102" t="str">
        <f t="shared" si="111"/>
        <v>9 h 30 à 11 h 30</v>
      </c>
      <c r="D386" s="14">
        <v>0</v>
      </c>
      <c r="E386" s="14">
        <v>0</v>
      </c>
      <c r="F386" s="14">
        <v>0</v>
      </c>
      <c r="G386" s="14">
        <v>0</v>
      </c>
      <c r="H386" s="14">
        <v>0</v>
      </c>
      <c r="I386" s="14">
        <v>0</v>
      </c>
      <c r="J386" s="14">
        <v>0</v>
      </c>
      <c r="K386" s="14">
        <v>0</v>
      </c>
      <c r="L386" s="14">
        <v>0</v>
      </c>
      <c r="M386" s="14">
        <v>0</v>
      </c>
      <c r="N386" s="14">
        <v>0</v>
      </c>
      <c r="O386" s="14">
        <v>0</v>
      </c>
    </row>
    <row r="387" spans="2:19" ht="14" customHeight="1" thickTop="1" thickBot="1" x14ac:dyDescent="0.2">
      <c r="B387" s="18">
        <v>3</v>
      </c>
      <c r="C387" s="102" t="str">
        <f t="shared" si="111"/>
        <v>11 h 30 à 14 h 30</v>
      </c>
      <c r="D387" s="14">
        <v>0</v>
      </c>
      <c r="E387" s="14">
        <v>0</v>
      </c>
      <c r="F387" s="14">
        <v>0</v>
      </c>
      <c r="G387" s="14">
        <v>0</v>
      </c>
      <c r="H387" s="14">
        <v>0</v>
      </c>
      <c r="I387" s="14">
        <v>0</v>
      </c>
      <c r="J387" s="14">
        <v>0</v>
      </c>
      <c r="K387" s="14">
        <v>0</v>
      </c>
      <c r="L387" s="14">
        <v>0</v>
      </c>
      <c r="M387" s="14">
        <v>0</v>
      </c>
      <c r="N387" s="14">
        <v>0</v>
      </c>
      <c r="O387" s="14">
        <v>0</v>
      </c>
    </row>
    <row r="388" spans="2:19" ht="14" customHeight="1" thickTop="1" thickBot="1" x14ac:dyDescent="0.2">
      <c r="B388" s="18">
        <v>4</v>
      </c>
      <c r="C388" s="102" t="str">
        <f t="shared" si="111"/>
        <v>14 h 30 à 17 h</v>
      </c>
      <c r="D388" s="14">
        <v>0</v>
      </c>
      <c r="E388" s="14">
        <v>0</v>
      </c>
      <c r="F388" s="14">
        <v>0</v>
      </c>
      <c r="G388" s="14">
        <v>0</v>
      </c>
      <c r="H388" s="14">
        <v>0</v>
      </c>
      <c r="I388" s="14">
        <v>0</v>
      </c>
      <c r="J388" s="14">
        <v>0</v>
      </c>
      <c r="K388" s="14">
        <v>0</v>
      </c>
      <c r="L388" s="14">
        <v>0</v>
      </c>
      <c r="M388" s="14">
        <v>0</v>
      </c>
      <c r="N388" s="14">
        <v>0</v>
      </c>
      <c r="O388" s="14">
        <v>0</v>
      </c>
    </row>
    <row r="389" spans="2:19" ht="14" customHeight="1" thickTop="1" thickBot="1" x14ac:dyDescent="0.2">
      <c r="B389" s="18">
        <v>5</v>
      </c>
      <c r="C389" s="102" t="str">
        <f t="shared" si="111"/>
        <v>17 h à 19 h</v>
      </c>
      <c r="D389" s="14">
        <v>0</v>
      </c>
      <c r="E389" s="14">
        <v>0</v>
      </c>
      <c r="F389" s="14">
        <v>0</v>
      </c>
      <c r="G389" s="14">
        <v>0</v>
      </c>
      <c r="H389" s="14">
        <v>0</v>
      </c>
      <c r="I389" s="14">
        <v>0</v>
      </c>
      <c r="J389" s="14">
        <v>0</v>
      </c>
      <c r="K389" s="14">
        <v>0</v>
      </c>
      <c r="L389" s="14">
        <v>0</v>
      </c>
      <c r="M389" s="14">
        <v>0</v>
      </c>
      <c r="N389" s="14">
        <v>0</v>
      </c>
      <c r="O389" s="14">
        <v>0</v>
      </c>
      <c r="Q389" s="30"/>
      <c r="R389" s="30" t="s">
        <v>2</v>
      </c>
      <c r="S389" s="31" t="s">
        <v>2</v>
      </c>
    </row>
    <row r="390" spans="2:19" ht="14" customHeight="1" thickTop="1" thickBot="1" x14ac:dyDescent="0.2">
      <c r="B390" s="18">
        <v>6</v>
      </c>
      <c r="C390" s="102" t="str">
        <f t="shared" si="111"/>
        <v>19 h à 23 h</v>
      </c>
      <c r="D390" s="14">
        <v>0</v>
      </c>
      <c r="E390" s="14">
        <v>0</v>
      </c>
      <c r="F390" s="14">
        <v>0</v>
      </c>
      <c r="G390" s="14">
        <v>0</v>
      </c>
      <c r="H390" s="14">
        <v>0</v>
      </c>
      <c r="I390" s="14">
        <v>0</v>
      </c>
      <c r="J390" s="14">
        <v>0</v>
      </c>
      <c r="K390" s="14">
        <v>0</v>
      </c>
      <c r="L390" s="14">
        <v>0</v>
      </c>
      <c r="M390" s="14">
        <v>0</v>
      </c>
      <c r="N390" s="14">
        <v>0</v>
      </c>
      <c r="O390" s="14">
        <v>0</v>
      </c>
      <c r="S390" s="32" t="s">
        <v>2</v>
      </c>
    </row>
    <row r="391" spans="2:19" ht="14" customHeight="1" thickTop="1" thickBot="1" x14ac:dyDescent="0.2">
      <c r="B391" s="18">
        <v>7</v>
      </c>
      <c r="C391" s="102" t="str">
        <f t="shared" si="111"/>
        <v>23 h à 6 h</v>
      </c>
      <c r="D391" s="14">
        <v>0</v>
      </c>
      <c r="E391" s="14">
        <v>0</v>
      </c>
      <c r="F391" s="14">
        <v>0</v>
      </c>
      <c r="G391" s="14">
        <v>0</v>
      </c>
      <c r="H391" s="14">
        <v>0</v>
      </c>
      <c r="I391" s="14">
        <v>0</v>
      </c>
      <c r="J391" s="14">
        <v>0</v>
      </c>
      <c r="K391" s="14">
        <v>0</v>
      </c>
      <c r="L391" s="14">
        <v>0</v>
      </c>
      <c r="M391" s="14">
        <v>0</v>
      </c>
      <c r="N391" s="14">
        <v>0</v>
      </c>
      <c r="O391" s="14">
        <v>0</v>
      </c>
    </row>
    <row r="392" spans="2:19" ht="14" customHeight="1" thickTop="1" thickBot="1" x14ac:dyDescent="0.2">
      <c r="B392" s="18"/>
      <c r="C392" s="16" t="str">
        <f t="shared" ref="C392" si="112">+C383</f>
        <v>Total</v>
      </c>
      <c r="D392" s="126">
        <f>+D385+D386+D387+D388+D389+D390+D391</f>
        <v>0</v>
      </c>
      <c r="E392" s="59">
        <v>0</v>
      </c>
      <c r="F392" s="59">
        <f t="shared" ref="F392:O392" si="113">+F385+F386+F387+F388+F389+F390+F391</f>
        <v>0</v>
      </c>
      <c r="G392" s="59">
        <f t="shared" si="113"/>
        <v>0</v>
      </c>
      <c r="H392" s="59">
        <f t="shared" si="113"/>
        <v>0</v>
      </c>
      <c r="I392" s="59">
        <f t="shared" si="113"/>
        <v>0</v>
      </c>
      <c r="J392" s="59">
        <f t="shared" si="113"/>
        <v>0</v>
      </c>
      <c r="K392" s="59">
        <f t="shared" si="113"/>
        <v>0</v>
      </c>
      <c r="L392" s="59">
        <f t="shared" si="113"/>
        <v>0</v>
      </c>
      <c r="M392" s="59">
        <f>+M385+M386+M387+M388+M389+M390+M391</f>
        <v>0</v>
      </c>
      <c r="N392" s="59">
        <f t="shared" si="113"/>
        <v>0</v>
      </c>
      <c r="O392" s="59">
        <f t="shared" si="113"/>
        <v>0</v>
      </c>
    </row>
    <row r="393" spans="2:19" ht="14" customHeight="1" thickTop="1" thickBot="1" x14ac:dyDescent="0.2">
      <c r="B393" s="33"/>
      <c r="C393" s="34"/>
      <c r="D393" s="35"/>
      <c r="E393" s="35"/>
      <c r="F393" s="35"/>
      <c r="G393" s="35"/>
      <c r="H393" s="35"/>
      <c r="I393" s="35"/>
      <c r="J393" s="35"/>
      <c r="K393" s="35"/>
      <c r="L393" s="35"/>
      <c r="M393" s="35"/>
      <c r="N393" s="35"/>
      <c r="O393" s="36"/>
    </row>
    <row r="394" spans="2:19" ht="14" customHeight="1" thickTop="1" thickBot="1" x14ac:dyDescent="0.2"/>
    <row r="395" spans="2:19" ht="14" customHeight="1" thickTop="1" x14ac:dyDescent="0.15">
      <c r="B395" s="87"/>
      <c r="C395" s="85" t="s">
        <v>22</v>
      </c>
      <c r="D395" s="82">
        <f t="shared" ref="D395:O395" si="114">+D18+D27+D36+D45+D54+D63+D72+D82+D91+D100+D109+D118+D127+D136+D146+D155+D164+D173+D182+D191+D200+D210+D219+D228+D237+D246+D255+D264+D274+D283+D292+D301+D310+D319+D328+D338+D347+D356+D365+D374+D383+D392</f>
        <v>3808</v>
      </c>
      <c r="E395" s="82">
        <f t="shared" si="114"/>
        <v>3691</v>
      </c>
      <c r="F395" s="82">
        <f t="shared" si="114"/>
        <v>4113</v>
      </c>
      <c r="G395" s="82">
        <f t="shared" si="114"/>
        <v>4161</v>
      </c>
      <c r="H395" s="82">
        <f t="shared" si="114"/>
        <v>4480</v>
      </c>
      <c r="I395" s="82">
        <f t="shared" si="114"/>
        <v>4604</v>
      </c>
      <c r="J395" s="82">
        <f t="shared" si="114"/>
        <v>4773</v>
      </c>
      <c r="K395" s="82">
        <f t="shared" si="114"/>
        <v>4836</v>
      </c>
      <c r="L395" s="82">
        <f t="shared" si="114"/>
        <v>4422</v>
      </c>
      <c r="M395" s="82">
        <f t="shared" si="114"/>
        <v>4426</v>
      </c>
      <c r="N395" s="82">
        <f t="shared" si="114"/>
        <v>4114</v>
      </c>
      <c r="O395" s="82">
        <f t="shared" si="114"/>
        <v>4572</v>
      </c>
      <c r="P395" s="82">
        <f>+SUM(D395:O395)</f>
        <v>52000</v>
      </c>
      <c r="Q395" s="1267" t="s">
        <v>23</v>
      </c>
      <c r="R395" s="1268"/>
    </row>
    <row r="396" spans="2:19" ht="14" customHeight="1" thickBot="1" x14ac:dyDescent="0.2">
      <c r="B396" s="88"/>
      <c r="C396" s="86"/>
      <c r="D396" s="83">
        <f t="shared" ref="D396:O396" si="115">+D395/D8</f>
        <v>122.83870967741936</v>
      </c>
      <c r="E396" s="83">
        <f t="shared" si="115"/>
        <v>131.82142857142858</v>
      </c>
      <c r="F396" s="83">
        <f t="shared" si="115"/>
        <v>132.67741935483872</v>
      </c>
      <c r="G396" s="83">
        <f t="shared" si="115"/>
        <v>138.69999999999999</v>
      </c>
      <c r="H396" s="83">
        <f t="shared" si="115"/>
        <v>144.51612903225808</v>
      </c>
      <c r="I396" s="83">
        <f t="shared" si="115"/>
        <v>153.46666666666667</v>
      </c>
      <c r="J396" s="83">
        <f t="shared" si="115"/>
        <v>153.96774193548387</v>
      </c>
      <c r="K396" s="83">
        <f t="shared" si="115"/>
        <v>156</v>
      </c>
      <c r="L396" s="83">
        <f t="shared" si="115"/>
        <v>147.4</v>
      </c>
      <c r="M396" s="83">
        <f t="shared" si="115"/>
        <v>142.7741935483871</v>
      </c>
      <c r="N396" s="83">
        <f t="shared" si="115"/>
        <v>137.13333333333333</v>
      </c>
      <c r="O396" s="83">
        <f t="shared" si="115"/>
        <v>147.48387096774192</v>
      </c>
      <c r="P396" s="1260" t="s">
        <v>24</v>
      </c>
      <c r="Q396" s="1261"/>
      <c r="R396" s="84"/>
    </row>
    <row r="397" spans="2:19" ht="14" customHeight="1" thickTop="1" x14ac:dyDescent="0.15">
      <c r="P397" s="127" t="s">
        <v>2</v>
      </c>
    </row>
    <row r="398" spans="2:19" ht="14" customHeight="1" x14ac:dyDescent="0.15">
      <c r="C398" s="37" t="s">
        <v>2</v>
      </c>
      <c r="D398" s="62" t="s">
        <v>2</v>
      </c>
      <c r="E398" s="63" t="s">
        <v>2</v>
      </c>
      <c r="F398" s="63" t="s">
        <v>2</v>
      </c>
      <c r="G398" s="63" t="s">
        <v>2</v>
      </c>
      <c r="H398" s="63" t="s">
        <v>2</v>
      </c>
      <c r="I398" s="63" t="s">
        <v>2</v>
      </c>
      <c r="J398" s="63" t="s">
        <v>2</v>
      </c>
      <c r="K398" s="63" t="s">
        <v>2</v>
      </c>
      <c r="L398" s="63" t="s">
        <v>2</v>
      </c>
      <c r="M398" s="63" t="s">
        <v>2</v>
      </c>
      <c r="N398" s="63" t="s">
        <v>2</v>
      </c>
      <c r="O398" s="63" t="s">
        <v>2</v>
      </c>
      <c r="P398" s="1065" t="s">
        <v>2</v>
      </c>
      <c r="Q398" s="63"/>
    </row>
    <row r="399" spans="2:19" ht="14" customHeight="1" x14ac:dyDescent="0.15">
      <c r="D399" s="38" t="s">
        <v>2</v>
      </c>
    </row>
    <row r="400" spans="2:19" ht="14" customHeight="1" x14ac:dyDescent="0.15">
      <c r="D400" s="38" t="s">
        <v>2</v>
      </c>
      <c r="P400" s="1064"/>
    </row>
    <row r="401" spans="4:4" ht="14" customHeight="1" x14ac:dyDescent="0.15">
      <c r="D401" s="38" t="s">
        <v>2</v>
      </c>
    </row>
    <row r="402" spans="4:4" ht="14" customHeight="1" x14ac:dyDescent="0.15">
      <c r="D402" s="38" t="s">
        <v>2</v>
      </c>
    </row>
    <row r="403" spans="4:4" ht="14" customHeight="1" x14ac:dyDescent="0.15">
      <c r="D403" s="38" t="s">
        <v>2</v>
      </c>
    </row>
    <row r="404" spans="4:4" ht="14" customHeight="1" x14ac:dyDescent="0.15">
      <c r="D404" s="38" t="s">
        <v>2</v>
      </c>
    </row>
    <row r="405" spans="4:4" ht="14" customHeight="1" x14ac:dyDescent="0.15">
      <c r="D405" s="38"/>
    </row>
    <row r="406" spans="4:4" ht="14" customHeight="1" x14ac:dyDescent="0.15">
      <c r="D406" s="38" t="s">
        <v>2</v>
      </c>
    </row>
    <row r="407" spans="4:4" ht="14" customHeight="1" x14ac:dyDescent="0.15">
      <c r="D407" s="38" t="s">
        <v>2</v>
      </c>
    </row>
    <row r="408" spans="4:4" ht="14" customHeight="1" x14ac:dyDescent="0.15">
      <c r="D408" s="38" t="s">
        <v>2</v>
      </c>
    </row>
    <row r="409" spans="4:4" ht="14" customHeight="1" x14ac:dyDescent="0.15">
      <c r="D409" s="38" t="s">
        <v>2</v>
      </c>
    </row>
    <row r="410" spans="4:4" ht="14" customHeight="1" x14ac:dyDescent="0.15">
      <c r="D410" s="38" t="s">
        <v>2</v>
      </c>
    </row>
    <row r="411" spans="4:4" ht="14" customHeight="1" x14ac:dyDescent="0.15"/>
    <row r="412" spans="4:4" ht="14" customHeight="1" x14ac:dyDescent="0.15"/>
    <row r="413" spans="4:4" ht="14" customHeight="1" x14ac:dyDescent="0.15"/>
    <row r="414" spans="4:4" ht="14" customHeight="1" x14ac:dyDescent="0.15"/>
    <row r="415" spans="4:4" ht="14" customHeight="1" x14ac:dyDescent="0.15"/>
    <row r="416" spans="4:4" ht="14" customHeight="1" x14ac:dyDescent="0.15"/>
    <row r="417" ht="14" customHeight="1" x14ac:dyDescent="0.15"/>
    <row r="418" ht="14" customHeight="1" x14ac:dyDescent="0.15"/>
    <row r="419" ht="14" customHeight="1" x14ac:dyDescent="0.15"/>
    <row r="420" ht="14" customHeight="1" x14ac:dyDescent="0.15"/>
    <row r="421" ht="14" customHeight="1" x14ac:dyDescent="0.15"/>
    <row r="422" ht="14" customHeight="1" x14ac:dyDescent="0.15"/>
    <row r="423" ht="14" customHeight="1" x14ac:dyDescent="0.15"/>
    <row r="424" ht="14" customHeight="1" x14ac:dyDescent="0.15"/>
    <row r="425" ht="14" customHeight="1" x14ac:dyDescent="0.15"/>
    <row r="426" ht="14" customHeight="1" x14ac:dyDescent="0.15"/>
    <row r="427" ht="14" customHeight="1" x14ac:dyDescent="0.15"/>
    <row r="428" ht="14" customHeight="1" x14ac:dyDescent="0.15"/>
    <row r="429" ht="14" customHeight="1" x14ac:dyDescent="0.15"/>
    <row r="430" ht="14" customHeight="1" x14ac:dyDescent="0.15"/>
    <row r="431" ht="14" customHeight="1" x14ac:dyDescent="0.15"/>
    <row r="432" ht="14" customHeight="1" x14ac:dyDescent="0.15"/>
    <row r="433" ht="14" customHeight="1" x14ac:dyDescent="0.15"/>
    <row r="434" ht="14" customHeight="1" x14ac:dyDescent="0.15"/>
    <row r="435" ht="14" customHeight="1" x14ac:dyDescent="0.15"/>
    <row r="436" ht="14" customHeight="1" x14ac:dyDescent="0.15"/>
    <row r="437" ht="14" customHeight="1" x14ac:dyDescent="0.15"/>
    <row r="438" ht="14" customHeight="1" x14ac:dyDescent="0.15"/>
    <row r="439" ht="14" customHeight="1" x14ac:dyDescent="0.15"/>
    <row r="440" ht="14" customHeight="1" x14ac:dyDescent="0.15"/>
    <row r="441" ht="14" customHeight="1" x14ac:dyDescent="0.15"/>
    <row r="442" ht="14" customHeight="1" x14ac:dyDescent="0.15"/>
    <row r="443" ht="14" customHeight="1" x14ac:dyDescent="0.15"/>
    <row r="444" ht="14" customHeight="1" x14ac:dyDescent="0.15"/>
    <row r="445" ht="14" customHeight="1" x14ac:dyDescent="0.15"/>
    <row r="446" ht="14" customHeight="1" x14ac:dyDescent="0.15"/>
    <row r="447" ht="14" customHeight="1" x14ac:dyDescent="0.15"/>
    <row r="448" ht="14" customHeight="1" x14ac:dyDescent="0.15"/>
    <row r="449" ht="14" customHeight="1" x14ac:dyDescent="0.15"/>
    <row r="450" ht="14" customHeight="1" x14ac:dyDescent="0.15"/>
    <row r="451" ht="14" customHeight="1" x14ac:dyDescent="0.15"/>
    <row r="452" ht="14" customHeight="1" x14ac:dyDescent="0.15"/>
    <row r="453" ht="14" customHeight="1" x14ac:dyDescent="0.15"/>
    <row r="454" ht="14" customHeight="1" x14ac:dyDescent="0.15"/>
    <row r="455" ht="14" customHeight="1" x14ac:dyDescent="0.15"/>
    <row r="456" ht="14" customHeight="1" x14ac:dyDescent="0.15"/>
    <row r="457" ht="14" customHeight="1" x14ac:dyDescent="0.15"/>
    <row r="458" ht="14" customHeight="1" x14ac:dyDescent="0.15"/>
    <row r="459" ht="14" customHeight="1" x14ac:dyDescent="0.15"/>
    <row r="460" ht="14" customHeight="1" x14ac:dyDescent="0.15"/>
    <row r="461" ht="14" customHeight="1" x14ac:dyDescent="0.15"/>
    <row r="462" ht="14" customHeight="1" x14ac:dyDescent="0.15"/>
    <row r="463" ht="14" customHeight="1" x14ac:dyDescent="0.15"/>
    <row r="464" ht="14" customHeight="1" x14ac:dyDescent="0.15"/>
    <row r="465" ht="14" customHeight="1" x14ac:dyDescent="0.15"/>
    <row r="466" ht="14" customHeight="1" x14ac:dyDescent="0.15"/>
    <row r="467" ht="14" customHeight="1" x14ac:dyDescent="0.15"/>
    <row r="468" ht="14" customHeight="1" x14ac:dyDescent="0.15"/>
    <row r="469" ht="14" customHeight="1" x14ac:dyDescent="0.15"/>
    <row r="470" ht="14" customHeight="1" x14ac:dyDescent="0.15"/>
  </sheetData>
  <sheetProtection algorithmName="SHA-512" hashValue="BuHzIgW0kO6mU6PRj/n9F293/VD1qn0d20gQQdHXczuyGYSQ1f+GCIWD4x19Z4DH1uQMtmdt82ANVBG4uk8Cyg==" saltValue="8epUxOwtLmq5HPPUn2Ifvw==" spinCount="100000" sheet="1" objects="1" scenarios="1"/>
  <mergeCells count="13">
    <mergeCell ref="B9:O9"/>
    <mergeCell ref="B2:O2"/>
    <mergeCell ref="B3:O3"/>
    <mergeCell ref="B4:O4"/>
    <mergeCell ref="B7:C7"/>
    <mergeCell ref="B8:C8"/>
    <mergeCell ref="P396:Q396"/>
    <mergeCell ref="B73:O73"/>
    <mergeCell ref="B137:O137"/>
    <mergeCell ref="B201:O201"/>
    <mergeCell ref="B265:O265"/>
    <mergeCell ref="B329:O329"/>
    <mergeCell ref="Q395:R395"/>
  </mergeCells>
  <pageMargins left="0.75" right="0.75" top="1" bottom="1" header="0.4921259845" footer="0.4921259845"/>
  <pageSetup orientation="portrait" horizontalDpi="4294967292" verticalDpi="4294967292"/>
  <ignoredErrors>
    <ignoredError sqref="C384 C357 C366 C375 C37 C46 C55 C64 C101 C110 C119 C128 C165 C174 C183 C192 C229 C238 C247 C256 C293 C302 C311 C320" formula="1"/>
  </ignoredError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B5F41-64A5-084A-A4A8-15C0A3B6552B}">
  <sheetPr>
    <tabColor rgb="FFFFFF00"/>
  </sheetPr>
  <dimension ref="B1:L120"/>
  <sheetViews>
    <sheetView zoomScale="180" zoomScaleNormal="180" zoomScalePageLayoutView="150" workbookViewId="0"/>
  </sheetViews>
  <sheetFormatPr baseColWidth="10" defaultRowHeight="13" x14ac:dyDescent="0.15"/>
  <cols>
    <col min="1" max="1" width="6.33203125" style="161" customWidth="1"/>
    <col min="2" max="2" width="6.6640625" style="161" bestFit="1" customWidth="1"/>
    <col min="3" max="3" width="54.6640625" style="161" bestFit="1" customWidth="1"/>
    <col min="4" max="6" width="2.83203125" style="161" customWidth="1"/>
    <col min="7" max="8" width="14.6640625" style="161" bestFit="1" customWidth="1"/>
    <col min="9" max="9" width="13.1640625" style="161" customWidth="1"/>
    <col min="10" max="10" width="14" style="161" bestFit="1" customWidth="1"/>
    <col min="11" max="11" width="11.6640625" style="161" bestFit="1" customWidth="1"/>
    <col min="12" max="12" width="12.5" style="161" bestFit="1" customWidth="1"/>
    <col min="13" max="16384" width="10.83203125" style="161"/>
  </cols>
  <sheetData>
    <row r="1" spans="2:11" x14ac:dyDescent="0.15">
      <c r="B1" s="161" t="s">
        <v>2</v>
      </c>
      <c r="K1" s="187"/>
    </row>
    <row r="2" spans="2:11" ht="14" customHeight="1" x14ac:dyDescent="0.2">
      <c r="B2" s="1474" t="s">
        <v>420</v>
      </c>
      <c r="C2" s="1475"/>
      <c r="D2" s="1475"/>
      <c r="E2" s="1475"/>
      <c r="F2" s="1475"/>
      <c r="G2" s="1475"/>
      <c r="H2" s="1475"/>
      <c r="I2" s="1475"/>
      <c r="J2" s="1475"/>
      <c r="K2" s="1476"/>
    </row>
    <row r="3" spans="2:11" ht="14" customHeight="1" x14ac:dyDescent="0.2">
      <c r="B3" s="1474" t="str">
        <f>'État des Résultats'!C2</f>
        <v>Les Multiples Plaisirs gourmands</v>
      </c>
      <c r="C3" s="1475"/>
      <c r="D3" s="1475"/>
      <c r="E3" s="1475"/>
      <c r="F3" s="1475"/>
      <c r="G3" s="1475"/>
      <c r="H3" s="1475"/>
      <c r="I3" s="1475"/>
      <c r="J3" s="1475"/>
      <c r="K3" s="1476"/>
    </row>
    <row r="4" spans="2:11" ht="17" thickBot="1" x14ac:dyDescent="0.25">
      <c r="B4" s="308"/>
      <c r="C4" s="308"/>
      <c r="D4" s="308"/>
      <c r="E4" s="308"/>
      <c r="F4" s="308"/>
      <c r="G4" s="308"/>
      <c r="H4" s="308"/>
      <c r="I4" s="308"/>
      <c r="J4" s="988"/>
      <c r="K4" s="986"/>
    </row>
    <row r="5" spans="2:11" ht="14" customHeight="1" thickTop="1" thickBot="1" x14ac:dyDescent="0.2">
      <c r="B5" s="1470" t="str">
        <f>'État des Résultats'!C10</f>
        <v>Revenus</v>
      </c>
      <c r="C5" s="1477"/>
      <c r="D5" s="1477"/>
      <c r="E5" s="1477"/>
      <c r="F5" s="1477"/>
      <c r="G5" s="1477"/>
      <c r="H5" s="1477"/>
      <c r="I5" s="1477"/>
      <c r="J5" s="1477"/>
      <c r="K5" s="1478"/>
    </row>
    <row r="6" spans="2:11" ht="17" thickTop="1" x14ac:dyDescent="0.2">
      <c r="B6" s="308"/>
      <c r="C6" s="848"/>
      <c r="D6" s="848"/>
      <c r="E6" s="848"/>
      <c r="F6" s="308"/>
      <c r="G6" s="308"/>
      <c r="H6" s="308"/>
      <c r="I6" s="308"/>
      <c r="J6" s="1006"/>
      <c r="K6" s="986"/>
    </row>
    <row r="7" spans="2:11" ht="16" x14ac:dyDescent="0.2">
      <c r="B7" s="308">
        <v>4100</v>
      </c>
      <c r="C7" s="374" t="s">
        <v>437</v>
      </c>
      <c r="D7" s="984"/>
      <c r="E7" s="984"/>
      <c r="F7" s="308"/>
      <c r="G7" s="308"/>
      <c r="H7" s="308"/>
      <c r="I7" s="308"/>
      <c r="J7" s="985">
        <v>0</v>
      </c>
      <c r="K7" s="986"/>
    </row>
    <row r="8" spans="2:11" ht="16" x14ac:dyDescent="0.2">
      <c r="B8" s="308">
        <v>4200</v>
      </c>
      <c r="C8" s="1479" t="str">
        <f>'État des Résultats'!C11</f>
        <v xml:space="preserve"> Nourriture</v>
      </c>
      <c r="D8" s="1479"/>
      <c r="E8" s="1479"/>
      <c r="F8" s="308"/>
      <c r="G8" s="308"/>
      <c r="H8" s="308"/>
      <c r="I8" s="308"/>
      <c r="J8" s="985">
        <f>'État des Résultats'!AP11</f>
        <v>520354.85583333339</v>
      </c>
      <c r="K8" s="986"/>
    </row>
    <row r="9" spans="2:11" ht="16" x14ac:dyDescent="0.2">
      <c r="B9" s="308">
        <v>4300</v>
      </c>
      <c r="C9" s="1479" t="str">
        <f>'État des Résultats'!C12</f>
        <v xml:space="preserve"> Boisson</v>
      </c>
      <c r="D9" s="1479"/>
      <c r="E9" s="1479"/>
      <c r="F9" s="308"/>
      <c r="G9" s="308"/>
      <c r="H9" s="308"/>
      <c r="I9" s="308"/>
      <c r="J9" s="985">
        <f>'État des Résultats'!AP12</f>
        <v>534173.16333333345</v>
      </c>
      <c r="K9" s="986"/>
    </row>
    <row r="10" spans="2:11" ht="16" x14ac:dyDescent="0.2">
      <c r="B10" s="308">
        <v>4400</v>
      </c>
      <c r="C10" s="308" t="str">
        <f>'État des Résultats'!C13</f>
        <v xml:space="preserve"> Autres revenus</v>
      </c>
      <c r="D10" s="308"/>
      <c r="E10" s="308"/>
      <c r="F10" s="308"/>
      <c r="G10" s="308"/>
      <c r="H10" s="308"/>
      <c r="I10" s="308"/>
      <c r="J10" s="985">
        <f>'État des Résultats'!AP13</f>
        <v>0</v>
      </c>
      <c r="K10" s="986"/>
    </row>
    <row r="11" spans="2:11" ht="19" x14ac:dyDescent="0.35">
      <c r="B11" s="308"/>
      <c r="C11" s="308" t="s">
        <v>2</v>
      </c>
      <c r="D11" s="308"/>
      <c r="E11" s="308"/>
      <c r="F11" s="308"/>
      <c r="G11" s="308"/>
      <c r="H11" s="308"/>
      <c r="I11" s="308"/>
      <c r="J11" s="987">
        <f>+SUM(J7:J10)</f>
        <v>1054528.0191666668</v>
      </c>
      <c r="K11" s="986"/>
    </row>
    <row r="12" spans="2:11" ht="17" thickBot="1" x14ac:dyDescent="0.25">
      <c r="B12" s="308"/>
      <c r="C12" s="308"/>
      <c r="D12" s="308"/>
      <c r="E12" s="308"/>
      <c r="F12" s="308"/>
      <c r="G12" s="308"/>
      <c r="H12" s="308"/>
      <c r="I12" s="308"/>
      <c r="J12" s="988"/>
      <c r="K12" s="986"/>
    </row>
    <row r="13" spans="2:11" ht="14" customHeight="1" thickTop="1" thickBot="1" x14ac:dyDescent="0.2">
      <c r="B13" s="1470" t="str">
        <f>'État des Résultats'!C23</f>
        <v xml:space="preserve">   « Prime Cost »</v>
      </c>
      <c r="C13" s="1477"/>
      <c r="D13" s="1477"/>
      <c r="E13" s="1477"/>
      <c r="F13" s="1477"/>
      <c r="G13" s="1477"/>
      <c r="H13" s="1477"/>
      <c r="I13" s="1477"/>
      <c r="J13" s="1477"/>
      <c r="K13" s="1478"/>
    </row>
    <row r="14" spans="2:11" ht="17" thickTop="1" x14ac:dyDescent="0.2">
      <c r="B14" s="308"/>
      <c r="C14" s="989"/>
      <c r="D14" s="308"/>
      <c r="E14" s="308"/>
      <c r="F14" s="308"/>
      <c r="G14" s="308"/>
      <c r="H14" s="989"/>
      <c r="I14" s="989"/>
      <c r="J14" s="988"/>
      <c r="K14" s="986"/>
    </row>
    <row r="15" spans="2:11" ht="16" x14ac:dyDescent="0.2">
      <c r="B15" s="308">
        <v>5000</v>
      </c>
      <c r="C15" s="308" t="str">
        <f>'État des Résultats'!C16</f>
        <v>Coût des produits vendus</v>
      </c>
      <c r="D15" s="308"/>
      <c r="E15" s="308"/>
      <c r="F15" s="308"/>
      <c r="G15" s="308"/>
      <c r="H15" s="308"/>
      <c r="I15" s="308"/>
      <c r="J15" s="990">
        <f>'État des Résultats'!AP16</f>
        <v>319665.87616666674</v>
      </c>
      <c r="K15" s="986"/>
    </row>
    <row r="16" spans="2:11" ht="16" x14ac:dyDescent="0.2">
      <c r="B16" s="308">
        <v>6000</v>
      </c>
      <c r="C16" s="308" t="str">
        <f>'État des Résultats'!C21</f>
        <v xml:space="preserve">   Total des coûts de la main-d’œuvre</v>
      </c>
      <c r="D16" s="308"/>
      <c r="E16" s="308"/>
      <c r="F16" s="308"/>
      <c r="G16" s="308"/>
      <c r="H16" s="308"/>
      <c r="I16" s="308"/>
      <c r="J16" s="990">
        <f>'État des Résultats'!AP21</f>
        <v>399535.88492241671</v>
      </c>
      <c r="K16" s="986"/>
    </row>
    <row r="17" spans="2:11" ht="19" x14ac:dyDescent="0.35">
      <c r="B17" s="308"/>
      <c r="C17" s="308"/>
      <c r="D17" s="308"/>
      <c r="E17" s="308"/>
      <c r="F17" s="308"/>
      <c r="G17" s="308"/>
      <c r="H17" s="308"/>
      <c r="I17" s="308"/>
      <c r="J17" s="991">
        <f>+J15+J16</f>
        <v>719201.76108908351</v>
      </c>
      <c r="K17" s="986"/>
    </row>
    <row r="18" spans="2:11" ht="17" thickBot="1" x14ac:dyDescent="0.25">
      <c r="B18" s="308"/>
      <c r="C18" s="308"/>
      <c r="D18" s="308"/>
      <c r="E18" s="308"/>
      <c r="F18" s="308"/>
      <c r="G18" s="308"/>
      <c r="H18" s="308"/>
      <c r="I18" s="308"/>
      <c r="J18" s="988"/>
      <c r="K18" s="986"/>
    </row>
    <row r="19" spans="2:11" ht="14" customHeight="1" thickTop="1" thickBot="1" x14ac:dyDescent="0.2">
      <c r="B19" s="1470" t="str">
        <f>'État des Résultats'!C34</f>
        <v xml:space="preserve">   Total des coûts d’exploitation</v>
      </c>
      <c r="C19" s="1480"/>
      <c r="D19" s="1480"/>
      <c r="E19" s="1480"/>
      <c r="F19" s="1480"/>
      <c r="G19" s="1480"/>
      <c r="H19" s="1480"/>
      <c r="I19" s="1480"/>
      <c r="J19" s="1480"/>
      <c r="K19" s="1481"/>
    </row>
    <row r="20" spans="2:11" ht="17" thickTop="1" x14ac:dyDescent="0.2">
      <c r="B20" s="308"/>
      <c r="C20" s="308"/>
      <c r="D20" s="308"/>
      <c r="E20" s="308"/>
      <c r="F20" s="308"/>
      <c r="G20" s="308"/>
      <c r="H20" s="308"/>
      <c r="I20" s="308"/>
      <c r="J20" s="988"/>
      <c r="K20" s="986"/>
    </row>
    <row r="21" spans="2:11" ht="16" x14ac:dyDescent="0.2">
      <c r="B21" s="308">
        <v>7300</v>
      </c>
      <c r="C21" s="308" t="str">
        <f>'État des Résultats'!C27</f>
        <v xml:space="preserve"> Coût d’occupation </v>
      </c>
      <c r="D21" s="308"/>
      <c r="E21" s="308"/>
      <c r="F21" s="308"/>
      <c r="G21" s="308"/>
      <c r="H21" s="308"/>
      <c r="I21" s="308"/>
      <c r="J21" s="990">
        <f>'État des Résultats'!AP27</f>
        <v>75090.560383333344</v>
      </c>
      <c r="K21" s="986"/>
    </row>
    <row r="22" spans="2:11" ht="16" x14ac:dyDescent="0.2">
      <c r="B22" s="308">
        <v>7400</v>
      </c>
      <c r="C22" s="308" t="str">
        <f>'État des Résultats'!C28</f>
        <v xml:space="preserve"> Coût direct d’exploitation </v>
      </c>
      <c r="D22" s="308"/>
      <c r="E22" s="308"/>
      <c r="F22" s="308"/>
      <c r="G22" s="308"/>
      <c r="H22" s="308"/>
      <c r="I22" s="308"/>
      <c r="J22" s="990">
        <f>'État des Résultats'!AP28</f>
        <v>31317.920287499997</v>
      </c>
      <c r="K22" s="986"/>
    </row>
    <row r="23" spans="2:11" ht="16" x14ac:dyDescent="0.2">
      <c r="B23" s="308">
        <v>7500</v>
      </c>
      <c r="C23" s="308" t="str">
        <f>'État des Résultats'!C29</f>
        <v xml:space="preserve"> Musique &amp; Divertissement </v>
      </c>
      <c r="D23" s="308"/>
      <c r="E23" s="308"/>
      <c r="F23" s="308"/>
      <c r="G23" s="308"/>
      <c r="H23" s="308"/>
      <c r="I23" s="308"/>
      <c r="J23" s="990">
        <f>'État des Résultats'!AP29</f>
        <v>1200</v>
      </c>
      <c r="K23" s="986"/>
    </row>
    <row r="24" spans="2:11" ht="16" x14ac:dyDescent="0.2">
      <c r="B24" s="308">
        <v>7600</v>
      </c>
      <c r="C24" s="308" t="str">
        <f>'État des Résultats'!C30</f>
        <v xml:space="preserve"> Marketing &amp; Communication marketing</v>
      </c>
      <c r="D24" s="308"/>
      <c r="E24" s="308"/>
      <c r="F24" s="308"/>
      <c r="G24" s="308"/>
      <c r="H24" s="308"/>
      <c r="I24" s="308"/>
      <c r="J24" s="990">
        <f>'État des Résultats'!AP30</f>
        <v>52726.400958333346</v>
      </c>
      <c r="K24" s="986"/>
    </row>
    <row r="25" spans="2:11" ht="16" x14ac:dyDescent="0.2">
      <c r="B25" s="308">
        <v>7700</v>
      </c>
      <c r="C25" s="308" t="str">
        <f>'État des Résultats'!C31</f>
        <v xml:space="preserve"> Services publics </v>
      </c>
      <c r="D25" s="308"/>
      <c r="E25" s="308"/>
      <c r="F25" s="308"/>
      <c r="G25" s="308"/>
      <c r="H25" s="308"/>
      <c r="I25" s="308"/>
      <c r="J25" s="990">
        <f>'État des Résultats'!AP31</f>
        <v>11080.000000000002</v>
      </c>
      <c r="K25" s="986"/>
    </row>
    <row r="26" spans="2:11" ht="16" x14ac:dyDescent="0.2">
      <c r="B26" s="308">
        <v>7800</v>
      </c>
      <c r="C26" s="308" t="str">
        <f>'État des Résultats'!C32</f>
        <v xml:space="preserve"> Administration &amp; Frais généraux </v>
      </c>
      <c r="D26" s="308"/>
      <c r="E26" s="308"/>
      <c r="F26" s="308"/>
      <c r="G26" s="308"/>
      <c r="H26" s="308"/>
      <c r="I26" s="308"/>
      <c r="J26" s="990">
        <f>'État des Résultats'!AP32</f>
        <v>33266.200479166662</v>
      </c>
      <c r="K26" s="986"/>
    </row>
    <row r="27" spans="2:11" ht="16" x14ac:dyDescent="0.2">
      <c r="B27" s="308">
        <v>7900</v>
      </c>
      <c r="C27" s="308" t="str">
        <f>'État des Résultats'!C33</f>
        <v xml:space="preserve"> Entretien &amp; Réparations </v>
      </c>
      <c r="D27" s="308"/>
      <c r="E27" s="308"/>
      <c r="F27" s="308"/>
      <c r="G27" s="308"/>
      <c r="H27" s="308"/>
      <c r="I27" s="308"/>
      <c r="J27" s="990">
        <f>'État des Résultats'!AP33</f>
        <v>16545.280191666665</v>
      </c>
      <c r="K27" s="986"/>
    </row>
    <row r="28" spans="2:11" ht="19" x14ac:dyDescent="0.35">
      <c r="B28" s="308"/>
      <c r="C28" s="847" t="str">
        <f>'État des Résultats'!C34</f>
        <v xml:space="preserve">   Total des coûts d’exploitation</v>
      </c>
      <c r="D28" s="308"/>
      <c r="E28" s="308"/>
      <c r="F28" s="308"/>
      <c r="G28" s="308"/>
      <c r="H28" s="308"/>
      <c r="I28" s="308"/>
      <c r="J28" s="991">
        <f>+SUM(J21:J27)</f>
        <v>221226.36230000004</v>
      </c>
      <c r="K28" s="986"/>
    </row>
    <row r="29" spans="2:11" ht="17" thickBot="1" x14ac:dyDescent="0.25">
      <c r="B29" s="308"/>
      <c r="C29" s="308"/>
      <c r="D29" s="308"/>
      <c r="E29" s="308"/>
      <c r="F29" s="308"/>
      <c r="G29" s="308"/>
      <c r="H29" s="308"/>
      <c r="I29" s="308"/>
      <c r="J29" s="988"/>
      <c r="K29" s="986"/>
    </row>
    <row r="30" spans="2:11" ht="18" thickTop="1" thickBot="1" x14ac:dyDescent="0.25">
      <c r="B30" s="1470" t="s">
        <v>421</v>
      </c>
      <c r="C30" s="1471"/>
      <c r="D30" s="1471"/>
      <c r="E30" s="1471"/>
      <c r="F30" s="1471"/>
      <c r="G30" s="1471"/>
      <c r="H30" s="1471"/>
      <c r="I30" s="1471"/>
      <c r="J30" s="1471"/>
      <c r="K30" s="1472"/>
    </row>
    <row r="31" spans="2:11" ht="17" thickTop="1" x14ac:dyDescent="0.2">
      <c r="B31" s="308"/>
      <c r="C31" s="308"/>
      <c r="D31" s="308"/>
      <c r="E31" s="308"/>
      <c r="F31" s="308"/>
      <c r="G31" s="308"/>
      <c r="H31" s="308"/>
      <c r="I31" s="308"/>
      <c r="J31" s="988"/>
      <c r="K31" s="986"/>
    </row>
    <row r="32" spans="2:11" ht="16" x14ac:dyDescent="0.2">
      <c r="B32" s="308">
        <v>8100</v>
      </c>
      <c r="C32" s="308" t="str">
        <f>'État des Résultats'!C38</f>
        <v xml:space="preserve"> Frais financiers</v>
      </c>
      <c r="D32" s="308"/>
      <c r="E32" s="308"/>
      <c r="F32" s="308"/>
      <c r="G32" s="308"/>
      <c r="H32" s="308"/>
      <c r="I32" s="308"/>
      <c r="J32" s="990">
        <f>'État des Résultats'!AP38</f>
        <v>9825</v>
      </c>
      <c r="K32" s="986"/>
    </row>
    <row r="33" spans="2:11" ht="16" x14ac:dyDescent="0.2">
      <c r="B33" s="308">
        <v>8500</v>
      </c>
      <c r="C33" s="308" t="str">
        <f>'État des Résultats'!C39</f>
        <v xml:space="preserve"> Amortissement</v>
      </c>
      <c r="D33" s="308"/>
      <c r="E33" s="308"/>
      <c r="F33" s="308"/>
      <c r="G33" s="308"/>
      <c r="H33" s="308"/>
      <c r="I33" s="308"/>
      <c r="J33" s="990">
        <f>'État des Résultats'!AP39</f>
        <v>18600</v>
      </c>
      <c r="K33" s="986"/>
    </row>
    <row r="34" spans="2:11" ht="19" x14ac:dyDescent="0.35">
      <c r="B34" s="308"/>
      <c r="C34" s="847" t="str">
        <f>+B30</f>
        <v>Total des frais financiers et amortissement</v>
      </c>
      <c r="D34" s="308"/>
      <c r="E34" s="308"/>
      <c r="F34" s="308"/>
      <c r="G34" s="308"/>
      <c r="H34" s="308"/>
      <c r="I34" s="308"/>
      <c r="J34" s="991">
        <f>+J32+J33</f>
        <v>28425</v>
      </c>
      <c r="K34" s="986"/>
    </row>
    <row r="35" spans="2:11" ht="20" thickBot="1" x14ac:dyDescent="0.4">
      <c r="B35" s="308"/>
      <c r="C35" s="847"/>
      <c r="D35" s="308"/>
      <c r="E35" s="308"/>
      <c r="F35" s="308"/>
      <c r="G35" s="308"/>
      <c r="H35" s="308"/>
      <c r="I35" s="308"/>
      <c r="J35" s="992"/>
      <c r="K35" s="986"/>
    </row>
    <row r="36" spans="2:11" ht="18" thickTop="1" thickBot="1" x14ac:dyDescent="0.2">
      <c r="B36" s="1482" t="str">
        <f>'État des Résultats'!C43</f>
        <v xml:space="preserve"> Impôts </v>
      </c>
      <c r="C36" s="1483"/>
      <c r="D36" s="1483"/>
      <c r="E36" s="1483"/>
      <c r="F36" s="1483"/>
      <c r="G36" s="1483"/>
      <c r="H36" s="1483"/>
      <c r="I36" s="1483"/>
      <c r="J36" s="1483"/>
      <c r="K36" s="1484"/>
    </row>
    <row r="37" spans="2:11" ht="20" thickTop="1" x14ac:dyDescent="0.35">
      <c r="B37" s="308"/>
      <c r="C37" s="847"/>
      <c r="D37" s="308"/>
      <c r="E37" s="308"/>
      <c r="F37" s="308"/>
      <c r="G37" s="308"/>
      <c r="H37" s="308"/>
      <c r="I37" s="308"/>
      <c r="J37" s="992"/>
      <c r="K37" s="986"/>
    </row>
    <row r="38" spans="2:11" ht="19" x14ac:dyDescent="0.35">
      <c r="B38" s="308">
        <v>9000</v>
      </c>
      <c r="C38" s="847" t="str">
        <f>'État des Résultats'!C43</f>
        <v xml:space="preserve"> Impôts </v>
      </c>
      <c r="D38" s="308"/>
      <c r="E38" s="308"/>
      <c r="F38" s="308"/>
      <c r="G38" s="308"/>
      <c r="H38" s="308"/>
      <c r="I38" s="308"/>
      <c r="J38" s="993">
        <f>'État des Résultats'!AP43</f>
        <v>15421.481239964984</v>
      </c>
      <c r="K38" s="986"/>
    </row>
    <row r="39" spans="2:11" ht="17" thickBot="1" x14ac:dyDescent="0.25">
      <c r="B39" s="308"/>
      <c r="C39" s="308"/>
      <c r="D39" s="308"/>
      <c r="E39" s="308"/>
      <c r="F39" s="308"/>
      <c r="G39" s="308"/>
      <c r="H39" s="308"/>
      <c r="I39" s="308"/>
      <c r="J39" s="308"/>
      <c r="K39" s="308"/>
    </row>
    <row r="40" spans="2:11" ht="18" thickTop="1" thickBot="1" x14ac:dyDescent="0.25">
      <c r="B40" s="1470" t="s">
        <v>422</v>
      </c>
      <c r="C40" s="1485"/>
      <c r="D40" s="1485"/>
      <c r="E40" s="1485"/>
      <c r="F40" s="1485"/>
      <c r="G40" s="1485"/>
      <c r="H40" s="1485"/>
      <c r="I40" s="1485"/>
      <c r="J40" s="1485"/>
      <c r="K40" s="1486"/>
    </row>
    <row r="41" spans="2:11" ht="17" thickTop="1" x14ac:dyDescent="0.2">
      <c r="B41" s="308"/>
      <c r="C41" s="308" t="s">
        <v>2</v>
      </c>
      <c r="D41" s="308"/>
      <c r="E41" s="308"/>
      <c r="F41" s="308"/>
      <c r="G41" s="308"/>
      <c r="H41" s="308"/>
      <c r="I41" s="308"/>
      <c r="J41" s="988"/>
      <c r="K41" s="986"/>
    </row>
    <row r="42" spans="2:11" ht="19" x14ac:dyDescent="0.35">
      <c r="B42" s="308"/>
      <c r="C42" s="1461" t="s">
        <v>423</v>
      </c>
      <c r="D42" s="1461"/>
      <c r="E42" s="1461"/>
      <c r="F42" s="1461"/>
      <c r="G42" s="1461"/>
      <c r="H42" s="1461"/>
      <c r="I42" s="1461"/>
      <c r="J42" s="991">
        <f>+J11-(J17+J28+J34+J38)</f>
        <v>70253.414537618286</v>
      </c>
      <c r="K42" s="994" t="s">
        <v>424</v>
      </c>
    </row>
    <row r="43" spans="2:11" ht="16" x14ac:dyDescent="0.2">
      <c r="B43" s="308"/>
      <c r="C43" s="308"/>
      <c r="D43" s="308"/>
      <c r="E43" s="308"/>
      <c r="F43" s="308"/>
      <c r="G43" s="308"/>
      <c r="H43" s="308"/>
      <c r="I43" s="308"/>
      <c r="J43" s="995"/>
      <c r="K43" s="986"/>
    </row>
    <row r="44" spans="2:11" ht="16" x14ac:dyDescent="0.2">
      <c r="B44" s="308"/>
      <c r="C44" s="308" t="str">
        <f>'État des Résultats'!C39</f>
        <v xml:space="preserve"> Amortissement</v>
      </c>
      <c r="D44" s="308"/>
      <c r="E44" s="308"/>
      <c r="F44" s="308"/>
      <c r="G44" s="308"/>
      <c r="H44" s="308"/>
      <c r="I44" s="996" t="s">
        <v>2</v>
      </c>
      <c r="J44" s="997">
        <f>'État des Résultats'!AP39</f>
        <v>18600</v>
      </c>
      <c r="K44" s="994" t="s">
        <v>424</v>
      </c>
    </row>
    <row r="45" spans="2:11" ht="16" x14ac:dyDescent="0.2">
      <c r="B45" s="308"/>
      <c r="C45" s="308" t="s">
        <v>2</v>
      </c>
      <c r="D45" s="308"/>
      <c r="E45" s="308"/>
      <c r="F45" s="308"/>
      <c r="G45" s="308"/>
      <c r="H45" s="308" t="s">
        <v>2</v>
      </c>
      <c r="I45" s="996" t="s">
        <v>2</v>
      </c>
      <c r="J45" s="998" t="s">
        <v>2</v>
      </c>
      <c r="K45" s="986"/>
    </row>
    <row r="46" spans="2:11" ht="19" x14ac:dyDescent="0.35">
      <c r="B46" s="308"/>
      <c r="C46" s="1473" t="s">
        <v>425</v>
      </c>
      <c r="D46" s="1473"/>
      <c r="E46" s="1473"/>
      <c r="F46" s="1473"/>
      <c r="G46" s="1473"/>
      <c r="H46" s="1473"/>
      <c r="I46" s="1473"/>
      <c r="J46" s="991">
        <f>+J42+J44</f>
        <v>88853.414537618286</v>
      </c>
      <c r="K46" s="994" t="s">
        <v>424</v>
      </c>
    </row>
    <row r="47" spans="2:11" ht="16" x14ac:dyDescent="0.2">
      <c r="B47" s="308"/>
      <c r="C47" s="308" t="s">
        <v>2</v>
      </c>
      <c r="D47" s="308"/>
      <c r="E47" s="308"/>
      <c r="F47" s="308"/>
      <c r="G47" s="308"/>
      <c r="H47" s="308"/>
      <c r="I47" s="996"/>
      <c r="J47" s="988"/>
      <c r="K47" s="986"/>
    </row>
    <row r="48" spans="2:11" ht="19" x14ac:dyDescent="0.3">
      <c r="B48" s="1007">
        <v>1000</v>
      </c>
      <c r="C48" s="980" t="str">
        <f>'Bilan début-fin'!C12</f>
        <v>Actif courant</v>
      </c>
      <c r="D48" s="972"/>
      <c r="E48" s="972"/>
      <c r="F48" s="972"/>
      <c r="G48" s="981" t="s">
        <v>426</v>
      </c>
      <c r="H48" s="981" t="s">
        <v>427</v>
      </c>
      <c r="I48" s="981" t="s">
        <v>428</v>
      </c>
      <c r="J48" s="974"/>
      <c r="K48" s="986"/>
    </row>
    <row r="49" spans="2:11" ht="16" x14ac:dyDescent="0.2">
      <c r="B49" s="308"/>
      <c r="C49" s="972"/>
      <c r="D49" s="972"/>
      <c r="E49" s="972"/>
      <c r="F49" s="972"/>
      <c r="G49" s="972"/>
      <c r="H49" s="972"/>
      <c r="I49" s="972"/>
      <c r="J49" s="974"/>
      <c r="K49" s="986"/>
    </row>
    <row r="50" spans="2:11" ht="16" x14ac:dyDescent="0.2">
      <c r="B50" s="308">
        <v>1100</v>
      </c>
      <c r="C50" s="972" t="str">
        <f>'Bilan début-fin'!C15</f>
        <v xml:space="preserve"> Clients et autres débiteurs</v>
      </c>
      <c r="D50" s="972"/>
      <c r="E50" s="972"/>
      <c r="F50" s="972"/>
      <c r="G50" s="975">
        <f>'Bilan début-fin'!E15</f>
        <v>0</v>
      </c>
      <c r="H50" s="975">
        <f>'Bilan début-fin'!J15</f>
        <v>0</v>
      </c>
      <c r="I50" s="982">
        <f>G50-H50</f>
        <v>0</v>
      </c>
      <c r="J50" s="974"/>
      <c r="K50" s="986"/>
    </row>
    <row r="51" spans="2:11" ht="16" x14ac:dyDescent="0.2">
      <c r="B51" s="308">
        <v>1200</v>
      </c>
      <c r="C51" s="972" t="str">
        <f>'Bilan début-fin'!C16</f>
        <v xml:space="preserve"> Stocks</v>
      </c>
      <c r="D51" s="972"/>
      <c r="E51" s="972"/>
      <c r="F51" s="972"/>
      <c r="G51" s="975">
        <f>'Bilan début-fin'!E16</f>
        <v>9991.8987923882996</v>
      </c>
      <c r="H51" s="975">
        <f>'Bilan début-fin'!J16</f>
        <v>10991.088671627131</v>
      </c>
      <c r="I51" s="982">
        <f>G51-H51</f>
        <v>-999.18987923883105</v>
      </c>
      <c r="J51" s="974"/>
      <c r="K51" s="986"/>
    </row>
    <row r="52" spans="2:11" ht="16" x14ac:dyDescent="0.2">
      <c r="B52" s="308">
        <v>1300</v>
      </c>
      <c r="C52" s="972" t="str">
        <f>'Bilan début-fin'!C17</f>
        <v xml:space="preserve"> Autres actifs courants</v>
      </c>
      <c r="D52" s="972"/>
      <c r="E52" s="972"/>
      <c r="F52" s="972"/>
      <c r="G52" s="975">
        <f>'Bilan début-fin'!E17</f>
        <v>0</v>
      </c>
      <c r="H52" s="975">
        <f>'Bilan début-fin'!J17</f>
        <v>0</v>
      </c>
      <c r="I52" s="982">
        <f>G52-H52</f>
        <v>0</v>
      </c>
      <c r="J52" s="974"/>
      <c r="K52" s="986"/>
    </row>
    <row r="53" spans="2:11" ht="19" x14ac:dyDescent="0.35">
      <c r="B53" s="308"/>
      <c r="C53" s="972"/>
      <c r="D53" s="972"/>
      <c r="E53" s="972"/>
      <c r="F53" s="972"/>
      <c r="G53" s="978">
        <f>+SUM(G50:G52)</f>
        <v>9991.8987923882996</v>
      </c>
      <c r="H53" s="978">
        <f>+SUM(H50:H52)</f>
        <v>10991.088671627131</v>
      </c>
      <c r="I53" s="983">
        <f>G53-H53</f>
        <v>-999.18987923883105</v>
      </c>
      <c r="J53" s="1008" t="s">
        <v>2</v>
      </c>
      <c r="K53" s="1009" t="s">
        <v>429</v>
      </c>
    </row>
    <row r="54" spans="2:11" ht="16" x14ac:dyDescent="0.2">
      <c r="B54" s="308"/>
      <c r="C54" s="972"/>
      <c r="D54" s="972"/>
      <c r="E54" s="972"/>
      <c r="F54" s="972"/>
      <c r="G54" s="1010"/>
      <c r="H54" s="1010"/>
      <c r="I54" s="1010"/>
      <c r="J54" s="1010"/>
      <c r="K54" s="1011"/>
    </row>
    <row r="55" spans="2:11" ht="20" x14ac:dyDescent="0.35">
      <c r="B55" s="1007">
        <v>2000</v>
      </c>
      <c r="C55" s="971" t="str">
        <f>'Bilan début-fin'!C34</f>
        <v>Passif courant</v>
      </c>
      <c r="D55" s="972"/>
      <c r="E55" s="972"/>
      <c r="F55" s="972"/>
      <c r="G55" s="973" t="s">
        <v>426</v>
      </c>
      <c r="H55" s="973" t="s">
        <v>427</v>
      </c>
      <c r="I55" s="973" t="s">
        <v>428</v>
      </c>
      <c r="J55" s="974"/>
      <c r="K55" s="986"/>
    </row>
    <row r="56" spans="2:11" ht="16" x14ac:dyDescent="0.2">
      <c r="B56" s="308"/>
      <c r="C56" s="972"/>
      <c r="D56" s="972"/>
      <c r="E56" s="972"/>
      <c r="F56" s="972"/>
      <c r="G56" s="974"/>
      <c r="H56" s="974"/>
      <c r="I56" s="974"/>
      <c r="J56" s="974"/>
      <c r="K56" s="986"/>
    </row>
    <row r="57" spans="2:11" ht="16" x14ac:dyDescent="0.2">
      <c r="B57" s="308">
        <v>2100</v>
      </c>
      <c r="C57" s="972" t="str">
        <f>'Bilan début-fin'!C36</f>
        <v xml:space="preserve"> Découverts bancaires</v>
      </c>
      <c r="D57" s="972"/>
      <c r="E57" s="972"/>
      <c r="F57" s="972"/>
      <c r="G57" s="975">
        <f>'Bilan début-fin'!E36</f>
        <v>0</v>
      </c>
      <c r="H57" s="975">
        <f>'Bilan début-fin'!J36</f>
        <v>0</v>
      </c>
      <c r="I57" s="976">
        <f t="shared" ref="I57:I63" si="0">H57-G57</f>
        <v>0</v>
      </c>
      <c r="J57" s="974"/>
      <c r="K57" s="986"/>
    </row>
    <row r="58" spans="2:11" ht="16" x14ac:dyDescent="0.2">
      <c r="B58" s="308">
        <v>2110</v>
      </c>
      <c r="C58" s="972" t="str">
        <f>'Bilan début-fin'!C37</f>
        <v xml:space="preserve"> Emprunts bancaires</v>
      </c>
      <c r="D58" s="972"/>
      <c r="E58" s="972"/>
      <c r="F58" s="972"/>
      <c r="G58" s="975">
        <f>'Bilan début-fin'!E37</f>
        <v>0</v>
      </c>
      <c r="H58" s="975">
        <f>'Bilan début-fin'!J37</f>
        <v>0</v>
      </c>
      <c r="I58" s="976">
        <f t="shared" si="0"/>
        <v>0</v>
      </c>
      <c r="J58" s="974"/>
      <c r="K58" s="986"/>
    </row>
    <row r="59" spans="2:11" ht="16" x14ac:dyDescent="0.2">
      <c r="B59" s="308">
        <v>2200</v>
      </c>
      <c r="C59" s="972" t="str">
        <f>'Bilan début-fin'!C38</f>
        <v xml:space="preserve"> Fournisseurs et autres créditeurs </v>
      </c>
      <c r="D59" s="972"/>
      <c r="E59" s="972"/>
      <c r="F59" s="972"/>
      <c r="G59" s="975">
        <f>'Bilan début-fin'!E38</f>
        <v>0</v>
      </c>
      <c r="H59" s="975">
        <f>'Bilan début-fin'!J38</f>
        <v>28796.247514610863</v>
      </c>
      <c r="I59" s="976">
        <f t="shared" si="0"/>
        <v>28796.247514610863</v>
      </c>
      <c r="J59" s="974"/>
      <c r="K59" s="986"/>
    </row>
    <row r="60" spans="2:11" ht="16" x14ac:dyDescent="0.2">
      <c r="B60" s="308">
        <v>2300</v>
      </c>
      <c r="C60" s="972" t="str">
        <f>'Bilan début-fin'!C39</f>
        <v xml:space="preserve"> Produits différés</v>
      </c>
      <c r="D60" s="972"/>
      <c r="E60" s="972"/>
      <c r="F60" s="972"/>
      <c r="G60" s="975">
        <f>'Bilan début-fin'!E39</f>
        <v>0</v>
      </c>
      <c r="H60" s="975">
        <f>'Bilan début-fin'!J39</f>
        <v>0</v>
      </c>
      <c r="I60" s="976">
        <f t="shared" si="0"/>
        <v>0</v>
      </c>
      <c r="J60" s="974"/>
      <c r="K60" s="986"/>
    </row>
    <row r="61" spans="2:11" ht="16" x14ac:dyDescent="0.2">
      <c r="B61" s="308">
        <v>2400</v>
      </c>
      <c r="C61" s="972" t="str">
        <f>'Bilan début-fin'!C40</f>
        <v xml:space="preserve"> Provisions pour risques et charges</v>
      </c>
      <c r="D61" s="972"/>
      <c r="E61" s="972"/>
      <c r="F61" s="972"/>
      <c r="G61" s="975">
        <f>'Bilan début-fin'!E40</f>
        <v>0</v>
      </c>
      <c r="H61" s="975">
        <f>'Bilan début-fin'!J40</f>
        <v>0</v>
      </c>
      <c r="I61" s="976">
        <f t="shared" si="0"/>
        <v>0</v>
      </c>
      <c r="J61" s="974"/>
      <c r="K61" s="986"/>
    </row>
    <row r="62" spans="2:11" ht="16" x14ac:dyDescent="0.2">
      <c r="B62" s="308">
        <v>2500</v>
      </c>
      <c r="C62" s="972" t="str">
        <f>'Bilan début-fin'!C41</f>
        <v xml:space="preserve"> Partie courante de la dette</v>
      </c>
      <c r="D62" s="972"/>
      <c r="E62" s="972"/>
      <c r="F62" s="972"/>
      <c r="G62" s="975">
        <f>'Bilan début-fin'!E41</f>
        <v>0</v>
      </c>
      <c r="H62" s="975">
        <f>'Bilan début-fin'!J41</f>
        <v>0</v>
      </c>
      <c r="I62" s="976">
        <f t="shared" si="0"/>
        <v>0</v>
      </c>
      <c r="J62" s="974"/>
      <c r="K62" s="986"/>
    </row>
    <row r="63" spans="2:11" ht="19" x14ac:dyDescent="0.35">
      <c r="B63" s="308"/>
      <c r="C63" s="972"/>
      <c r="D63" s="972"/>
      <c r="E63" s="972"/>
      <c r="F63" s="972"/>
      <c r="G63" s="977">
        <f>+SUM(G58:G62)</f>
        <v>0</v>
      </c>
      <c r="H63" s="978">
        <f>+SUM(H58:H62)</f>
        <v>28796.247514610863</v>
      </c>
      <c r="I63" s="979">
        <f t="shared" si="0"/>
        <v>28796.247514610863</v>
      </c>
      <c r="J63" s="1012" t="s">
        <v>2</v>
      </c>
      <c r="K63" s="994" t="s">
        <v>424</v>
      </c>
    </row>
    <row r="64" spans="2:11" ht="19" x14ac:dyDescent="0.3">
      <c r="B64" s="1007" t="s">
        <v>2</v>
      </c>
      <c r="C64" s="971" t="s">
        <v>2</v>
      </c>
      <c r="D64" s="972"/>
      <c r="E64" s="972"/>
      <c r="F64" s="972"/>
      <c r="G64" s="974"/>
      <c r="H64" s="974"/>
      <c r="I64" s="974"/>
      <c r="J64" s="974"/>
      <c r="K64" s="986"/>
    </row>
    <row r="65" spans="2:11" ht="19" x14ac:dyDescent="0.35">
      <c r="B65" s="308"/>
      <c r="C65" s="972"/>
      <c r="D65" s="972"/>
      <c r="E65" s="972"/>
      <c r="F65" s="972"/>
      <c r="G65" s="1013"/>
      <c r="H65" s="1014"/>
      <c r="I65" s="1014"/>
      <c r="J65" s="1012"/>
      <c r="K65" s="986"/>
    </row>
    <row r="66" spans="2:11" ht="19" x14ac:dyDescent="0.35">
      <c r="B66" s="308"/>
      <c r="C66" s="1462" t="s">
        <v>430</v>
      </c>
      <c r="D66" s="1462"/>
      <c r="E66" s="1462"/>
      <c r="F66" s="1462"/>
      <c r="G66" s="1462"/>
      <c r="H66" s="1462"/>
      <c r="I66" s="1462"/>
      <c r="J66" s="1015">
        <f>+I53+I63</f>
        <v>27797.057635372032</v>
      </c>
      <c r="K66" s="994" t="s">
        <v>424</v>
      </c>
    </row>
    <row r="67" spans="2:11" ht="20" thickBot="1" x14ac:dyDescent="0.4">
      <c r="B67" s="308"/>
      <c r="C67" s="1016"/>
      <c r="D67" s="1016"/>
      <c r="E67" s="1016"/>
      <c r="F67" s="1016"/>
      <c r="G67" s="1016"/>
      <c r="H67" s="1016"/>
      <c r="I67" s="1016"/>
      <c r="J67" s="992"/>
      <c r="K67" s="986"/>
    </row>
    <row r="68" spans="2:11" ht="21" thickTop="1" thickBot="1" x14ac:dyDescent="0.4">
      <c r="B68" s="1017"/>
      <c r="C68" s="1463" t="s">
        <v>431</v>
      </c>
      <c r="D68" s="1464"/>
      <c r="E68" s="1464"/>
      <c r="F68" s="1464"/>
      <c r="G68" s="1464"/>
      <c r="H68" s="1464"/>
      <c r="I68" s="1464"/>
      <c r="J68" s="1018">
        <f>+J46+J66</f>
        <v>116650.47217299032</v>
      </c>
      <c r="K68" s="1019" t="s">
        <v>424</v>
      </c>
    </row>
    <row r="69" spans="2:11" ht="18" thickTop="1" thickBot="1" x14ac:dyDescent="0.25">
      <c r="B69" s="308"/>
      <c r="C69" s="308"/>
      <c r="D69" s="308"/>
      <c r="E69" s="308"/>
      <c r="F69" s="308"/>
      <c r="G69" s="988"/>
      <c r="H69" s="988"/>
      <c r="I69" s="988"/>
      <c r="J69" s="988"/>
      <c r="K69" s="986"/>
    </row>
    <row r="70" spans="2:11" ht="18" thickTop="1" thickBot="1" x14ac:dyDescent="0.25">
      <c r="B70" s="1465" t="s">
        <v>432</v>
      </c>
      <c r="C70" s="1466"/>
      <c r="D70" s="1466"/>
      <c r="E70" s="1466"/>
      <c r="F70" s="1466"/>
      <c r="G70" s="1466"/>
      <c r="H70" s="1466"/>
      <c r="I70" s="1466"/>
      <c r="J70" s="1466"/>
      <c r="K70" s="1467"/>
    </row>
    <row r="71" spans="2:11" ht="17" thickTop="1" x14ac:dyDescent="0.2">
      <c r="B71" s="308"/>
      <c r="C71" s="308"/>
      <c r="D71" s="308"/>
      <c r="E71" s="308"/>
      <c r="F71" s="308"/>
      <c r="G71" s="988"/>
      <c r="H71" s="988"/>
      <c r="I71" s="988"/>
      <c r="J71" s="988"/>
      <c r="K71" s="986"/>
    </row>
    <row r="72" spans="2:11" ht="20" x14ac:dyDescent="0.35">
      <c r="B72" s="1007">
        <v>2000</v>
      </c>
      <c r="C72" s="965" t="str">
        <f>'Bilan début-fin'!C45</f>
        <v>Passif non courant</v>
      </c>
      <c r="D72" s="966"/>
      <c r="E72" s="966"/>
      <c r="F72" s="966"/>
      <c r="G72" s="967" t="s">
        <v>426</v>
      </c>
      <c r="H72" s="967" t="s">
        <v>427</v>
      </c>
      <c r="I72" s="967" t="s">
        <v>428</v>
      </c>
      <c r="J72" s="308"/>
      <c r="K72" s="986"/>
    </row>
    <row r="73" spans="2:11" ht="19" x14ac:dyDescent="0.3">
      <c r="B73" s="1007"/>
      <c r="C73" s="965"/>
      <c r="D73" s="966"/>
      <c r="E73" s="966"/>
      <c r="F73" s="966"/>
      <c r="G73" s="968"/>
      <c r="H73" s="968"/>
      <c r="I73" s="968"/>
      <c r="J73" s="308"/>
      <c r="K73" s="986"/>
    </row>
    <row r="74" spans="2:11" ht="16" x14ac:dyDescent="0.2">
      <c r="B74" s="308">
        <v>2600</v>
      </c>
      <c r="C74" s="966" t="str">
        <f>'Bilan début-fin'!C47</f>
        <v xml:space="preserve"> Emprunts hypothécaires </v>
      </c>
      <c r="D74" s="966"/>
      <c r="E74" s="966"/>
      <c r="F74" s="966"/>
      <c r="G74" s="969">
        <f>'Bilan début-fin'!E47</f>
        <v>150000</v>
      </c>
      <c r="H74" s="969">
        <f>'Bilan début-fin'!J47</f>
        <v>135000</v>
      </c>
      <c r="I74" s="999">
        <f>H74-G74</f>
        <v>-15000</v>
      </c>
      <c r="J74" s="308"/>
      <c r="K74" s="986"/>
    </row>
    <row r="75" spans="2:11" ht="16" x14ac:dyDescent="0.2">
      <c r="B75" s="308">
        <v>2700</v>
      </c>
      <c r="C75" s="966" t="str">
        <f>'Bilan début-fin'!C48</f>
        <v xml:space="preserve"> Emprunts obligataires</v>
      </c>
      <c r="D75" s="966"/>
      <c r="E75" s="966"/>
      <c r="F75" s="966"/>
      <c r="G75" s="969">
        <f>'Bilan début-fin'!E48</f>
        <v>0</v>
      </c>
      <c r="H75" s="969">
        <f>'Bilan début-fin'!J48</f>
        <v>0</v>
      </c>
      <c r="I75" s="999">
        <f>H75-G75</f>
        <v>0</v>
      </c>
      <c r="J75" s="308"/>
      <c r="K75" s="986"/>
    </row>
    <row r="76" spans="2:11" ht="16" x14ac:dyDescent="0.2">
      <c r="B76" s="308">
        <v>2800</v>
      </c>
      <c r="C76" s="966" t="str">
        <f>'Bilan début-fin'!C49</f>
        <v xml:space="preserve"> Obligations découlant de contrats de location-financement</v>
      </c>
      <c r="D76" s="966"/>
      <c r="E76" s="966"/>
      <c r="F76" s="966"/>
      <c r="G76" s="969">
        <f>'Bilan début-fin'!E49</f>
        <v>0</v>
      </c>
      <c r="H76" s="969">
        <f>'Bilan début-fin'!J49</f>
        <v>0</v>
      </c>
      <c r="I76" s="999">
        <f>H76-G76</f>
        <v>0</v>
      </c>
      <c r="J76" s="308"/>
      <c r="K76" s="986"/>
    </row>
    <row r="77" spans="2:11" ht="16" x14ac:dyDescent="0.2">
      <c r="B77" s="308">
        <v>2900</v>
      </c>
      <c r="C77" s="966" t="str">
        <f>'Bilan début-fin'!C50</f>
        <v xml:space="preserve"> Impôts différés</v>
      </c>
      <c r="D77" s="966"/>
      <c r="E77" s="966"/>
      <c r="F77" s="966"/>
      <c r="G77" s="969">
        <f>'Bilan début-fin'!E50</f>
        <v>0</v>
      </c>
      <c r="H77" s="969">
        <f>'Bilan début-fin'!J50</f>
        <v>0</v>
      </c>
      <c r="I77" s="999">
        <f>H77-G77</f>
        <v>0</v>
      </c>
      <c r="J77" s="308"/>
      <c r="K77" s="986"/>
    </row>
    <row r="78" spans="2:11" ht="19" x14ac:dyDescent="0.35">
      <c r="B78" s="308" t="s">
        <v>2</v>
      </c>
      <c r="C78" s="966" t="s">
        <v>2</v>
      </c>
      <c r="D78" s="966"/>
      <c r="E78" s="966"/>
      <c r="F78" s="966"/>
      <c r="G78" s="970">
        <f>+SUM(G74:G77)</f>
        <v>150000</v>
      </c>
      <c r="H78" s="970">
        <f>+SUM(H74:H77)</f>
        <v>135000</v>
      </c>
      <c r="I78" s="1000">
        <f>H78-G78</f>
        <v>-15000</v>
      </c>
      <c r="J78" s="996" t="s">
        <v>2</v>
      </c>
      <c r="K78" s="994" t="s">
        <v>2</v>
      </c>
    </row>
    <row r="79" spans="2:11" ht="19" x14ac:dyDescent="0.35">
      <c r="B79" s="308" t="s">
        <v>2</v>
      </c>
      <c r="C79" s="308"/>
      <c r="D79" s="308"/>
      <c r="E79" s="308"/>
      <c r="F79" s="308"/>
      <c r="G79" s="992"/>
      <c r="H79" s="992"/>
      <c r="I79" s="992"/>
      <c r="J79" s="996"/>
      <c r="K79" s="986"/>
    </row>
    <row r="80" spans="2:11" ht="20" x14ac:dyDescent="0.35">
      <c r="B80" s="1007">
        <v>3000</v>
      </c>
      <c r="C80" s="1004" t="str">
        <f>'Bilan début-fin'!C56</f>
        <v>CAPITAUX PROPRES</v>
      </c>
      <c r="D80" s="308"/>
      <c r="E80" s="308"/>
      <c r="F80" s="308"/>
      <c r="G80" s="1005" t="s">
        <v>426</v>
      </c>
      <c r="H80" s="1005" t="s">
        <v>427</v>
      </c>
      <c r="I80" s="1005" t="s">
        <v>428</v>
      </c>
      <c r="J80" s="308"/>
      <c r="K80" s="986"/>
    </row>
    <row r="81" spans="2:11" ht="16" x14ac:dyDescent="0.2">
      <c r="B81" s="308"/>
      <c r="C81" s="308"/>
      <c r="D81" s="308"/>
      <c r="E81" s="308"/>
      <c r="F81" s="308"/>
      <c r="G81" s="988"/>
      <c r="H81" s="988"/>
      <c r="I81" s="988"/>
      <c r="J81" s="308"/>
      <c r="K81" s="986"/>
    </row>
    <row r="82" spans="2:11" ht="16" x14ac:dyDescent="0.2">
      <c r="B82" s="308">
        <v>3000</v>
      </c>
      <c r="C82" s="308" t="str">
        <f>'Bilan début-fin'!C58</f>
        <v xml:space="preserve"> Capital actions</v>
      </c>
      <c r="D82" s="308"/>
      <c r="E82" s="308"/>
      <c r="F82" s="308"/>
      <c r="G82" s="995">
        <f>'Bilan début-fin'!E58</f>
        <v>75000</v>
      </c>
      <c r="H82" s="995">
        <f>'Bilan début-fin'!J58</f>
        <v>75000</v>
      </c>
      <c r="I82" s="990">
        <f>H82-G82</f>
        <v>0</v>
      </c>
      <c r="J82" s="308"/>
      <c r="K82" s="986"/>
    </row>
    <row r="83" spans="2:11" ht="16" x14ac:dyDescent="0.2">
      <c r="B83" s="308">
        <v>3100</v>
      </c>
      <c r="C83" s="308" t="str">
        <f>'Bilan début-fin'!C59</f>
        <v xml:space="preserve"> Surplus d’apports</v>
      </c>
      <c r="D83" s="308"/>
      <c r="E83" s="308"/>
      <c r="F83" s="308"/>
      <c r="G83" s="995">
        <f>'Bilan début-fin'!E59</f>
        <v>0</v>
      </c>
      <c r="H83" s="995">
        <f>'Bilan début-fin'!J59</f>
        <v>0</v>
      </c>
      <c r="I83" s="990">
        <f>H83-G83</f>
        <v>0</v>
      </c>
      <c r="J83" s="308"/>
      <c r="K83" s="986"/>
    </row>
    <row r="84" spans="2:11" ht="16" x14ac:dyDescent="0.2">
      <c r="B84" s="1001">
        <v>3200</v>
      </c>
      <c r="C84" s="1001" t="str">
        <f>'Bilan début-fin'!C60</f>
        <v xml:space="preserve"> Résultats non distribués</v>
      </c>
      <c r="D84" s="1001"/>
      <c r="E84" s="1001"/>
      <c r="F84" s="1001"/>
      <c r="G84" s="1002">
        <f>'Bilan début-fin'!E60</f>
        <v>0</v>
      </c>
      <c r="H84" s="1002">
        <f>'Bilan début-fin'!J60</f>
        <v>70253.414537618257</v>
      </c>
      <c r="I84" s="1003">
        <f>H84-G84</f>
        <v>70253.414537618257</v>
      </c>
      <c r="J84" s="308"/>
      <c r="K84" s="986"/>
    </row>
    <row r="85" spans="2:11" ht="16" x14ac:dyDescent="0.2">
      <c r="B85" s="308">
        <v>3300</v>
      </c>
      <c r="C85" s="308" t="str">
        <f>'Bilan début-fin'!C61</f>
        <v xml:space="preserve"> Cumul des autres éléments du résultat global</v>
      </c>
      <c r="D85" s="308"/>
      <c r="E85" s="308"/>
      <c r="F85" s="308"/>
      <c r="G85" s="995">
        <f>'Bilan début-fin'!E61</f>
        <v>0</v>
      </c>
      <c r="H85" s="995">
        <f>'Bilan début-fin'!J61</f>
        <v>0</v>
      </c>
      <c r="I85" s="990">
        <f>H85-G85</f>
        <v>0</v>
      </c>
      <c r="J85" s="308"/>
      <c r="K85" s="986"/>
    </row>
    <row r="86" spans="2:11" ht="16" x14ac:dyDescent="0.2">
      <c r="B86" s="308">
        <v>3400</v>
      </c>
      <c r="C86" s="308" t="str">
        <f>'Bilan début-fin'!C62</f>
        <v xml:space="preserve"> Participation ne donnant pas le contrôle</v>
      </c>
      <c r="D86" s="308"/>
      <c r="E86" s="308"/>
      <c r="F86" s="308"/>
      <c r="G86" s="995">
        <f>'Bilan début-fin'!E62</f>
        <v>0</v>
      </c>
      <c r="H86" s="995">
        <f>'Bilan début-fin'!J62</f>
        <v>0</v>
      </c>
      <c r="I86" s="990">
        <f>H86-G86</f>
        <v>0</v>
      </c>
      <c r="J86" s="308"/>
      <c r="K86" s="986"/>
    </row>
    <row r="87" spans="2:11" ht="19" x14ac:dyDescent="0.35">
      <c r="B87" s="308"/>
      <c r="C87" s="308"/>
      <c r="D87" s="308"/>
      <c r="E87" s="308"/>
      <c r="F87" s="308"/>
      <c r="G87" s="991">
        <f>+G82+G83+G85+G86</f>
        <v>75000</v>
      </c>
      <c r="H87" s="991">
        <f>+H82+H83+H85+H86</f>
        <v>75000</v>
      </c>
      <c r="I87" s="993">
        <f>+I82+I83+I85+I86</f>
        <v>0</v>
      </c>
      <c r="J87" s="996" t="s">
        <v>2</v>
      </c>
      <c r="K87" s="994" t="s">
        <v>429</v>
      </c>
    </row>
    <row r="88" spans="2:11" ht="20" thickBot="1" x14ac:dyDescent="0.4">
      <c r="B88" s="308"/>
      <c r="C88" s="308"/>
      <c r="D88" s="308"/>
      <c r="E88" s="308"/>
      <c r="F88" s="308"/>
      <c r="G88" s="992"/>
      <c r="H88" s="1020"/>
      <c r="I88" s="992"/>
      <c r="J88" s="996"/>
      <c r="K88" s="986"/>
    </row>
    <row r="89" spans="2:11" ht="21" thickTop="1" thickBot="1" x14ac:dyDescent="0.4">
      <c r="B89" s="1468" t="s">
        <v>433</v>
      </c>
      <c r="C89" s="1469"/>
      <c r="D89" s="1469"/>
      <c r="E89" s="1469"/>
      <c r="F89" s="1469"/>
      <c r="G89" s="1469"/>
      <c r="H89" s="1469"/>
      <c r="I89" s="1469"/>
      <c r="J89" s="1018">
        <f>+I78+I87</f>
        <v>-15000</v>
      </c>
      <c r="K89" s="1019" t="s">
        <v>429</v>
      </c>
    </row>
    <row r="90" spans="2:11" ht="18" thickTop="1" thickBot="1" x14ac:dyDescent="0.25">
      <c r="B90" s="308"/>
      <c r="C90" s="308"/>
      <c r="D90" s="308"/>
      <c r="E90" s="308"/>
      <c r="F90" s="308"/>
      <c r="G90" s="988"/>
      <c r="H90" s="988"/>
      <c r="I90" s="988"/>
      <c r="J90" s="308"/>
      <c r="K90" s="986"/>
    </row>
    <row r="91" spans="2:11" ht="18" thickTop="1" thickBot="1" x14ac:dyDescent="0.25">
      <c r="B91" s="1470" t="s">
        <v>434</v>
      </c>
      <c r="C91" s="1471"/>
      <c r="D91" s="1471"/>
      <c r="E91" s="1471"/>
      <c r="F91" s="1471"/>
      <c r="G91" s="1471"/>
      <c r="H91" s="1471"/>
      <c r="I91" s="1471"/>
      <c r="J91" s="1471"/>
      <c r="K91" s="1472"/>
    </row>
    <row r="92" spans="2:11" ht="17" thickTop="1" x14ac:dyDescent="0.2">
      <c r="B92" s="308"/>
      <c r="C92" s="308"/>
      <c r="D92" s="308"/>
      <c r="E92" s="308"/>
      <c r="F92" s="308"/>
      <c r="G92" s="988"/>
      <c r="H92" s="988"/>
      <c r="I92" s="988"/>
      <c r="J92" s="308"/>
      <c r="K92" s="986"/>
    </row>
    <row r="93" spans="2:11" ht="20" x14ac:dyDescent="0.35">
      <c r="B93" s="1021">
        <v>1000</v>
      </c>
      <c r="C93" s="1004" t="str">
        <f>'Bilan début-fin'!C21</f>
        <v>Actif non courant</v>
      </c>
      <c r="D93" s="308"/>
      <c r="E93" s="308"/>
      <c r="F93" s="308"/>
      <c r="G93" s="1005" t="s">
        <v>426</v>
      </c>
      <c r="H93" s="1005" t="s">
        <v>427</v>
      </c>
      <c r="I93" s="1005" t="s">
        <v>428</v>
      </c>
      <c r="J93" s="308"/>
      <c r="K93" s="986"/>
    </row>
    <row r="94" spans="2:11" ht="16" x14ac:dyDescent="0.2">
      <c r="B94" s="308"/>
      <c r="C94" s="308"/>
      <c r="D94" s="308"/>
      <c r="E94" s="308"/>
      <c r="F94" s="308"/>
      <c r="G94" s="988"/>
      <c r="H94" s="988"/>
      <c r="I94" s="988"/>
      <c r="J94" s="308"/>
      <c r="K94" s="986"/>
    </row>
    <row r="95" spans="2:11" ht="16" x14ac:dyDescent="0.2">
      <c r="B95" s="308">
        <v>1400</v>
      </c>
      <c r="C95" s="308" t="str">
        <f>'Bilan début-fin'!C23</f>
        <v xml:space="preserve"> Placements</v>
      </c>
      <c r="D95" s="308"/>
      <c r="E95" s="308"/>
      <c r="F95" s="308"/>
      <c r="G95" s="1031">
        <f>'Bilan début-fin'!E23</f>
        <v>0</v>
      </c>
      <c r="H95" s="1031">
        <f>'Bilan début-fin'!J23</f>
        <v>100000</v>
      </c>
      <c r="I95" s="1032">
        <f>G95-H95</f>
        <v>-100000</v>
      </c>
      <c r="J95" s="308"/>
      <c r="K95" s="986"/>
    </row>
    <row r="96" spans="2:11" ht="16" x14ac:dyDescent="0.2">
      <c r="B96" s="308">
        <v>1500</v>
      </c>
      <c r="C96" s="308" t="str">
        <f>'Bilan début-fin'!C24</f>
        <v xml:space="preserve"> Immobilisations corporelles </v>
      </c>
      <c r="D96" s="308"/>
      <c r="E96" s="308"/>
      <c r="F96" s="308"/>
      <c r="G96" s="1031">
        <f>'Bilan début-fin'!E24</f>
        <v>186000</v>
      </c>
      <c r="H96" s="1031">
        <f>+G96</f>
        <v>186000</v>
      </c>
      <c r="I96" s="1032">
        <f t="shared" ref="I96:I100" si="1">H96-G96</f>
        <v>0</v>
      </c>
      <c r="J96" s="308"/>
      <c r="K96" s="986"/>
    </row>
    <row r="97" spans="2:12" ht="16" x14ac:dyDescent="0.2">
      <c r="B97" s="1001"/>
      <c r="C97" s="1001" t="s">
        <v>435</v>
      </c>
      <c r="D97" s="1001"/>
      <c r="E97" s="1001"/>
      <c r="F97" s="1001"/>
      <c r="G97" s="1033">
        <v>0</v>
      </c>
      <c r="H97" s="1033">
        <f>+'État des Résultats'!AP39</f>
        <v>18600</v>
      </c>
      <c r="I97" s="1034">
        <f t="shared" si="1"/>
        <v>18600</v>
      </c>
      <c r="J97" s="308"/>
      <c r="K97" s="986"/>
    </row>
    <row r="98" spans="2:12" ht="16" x14ac:dyDescent="0.2">
      <c r="B98" s="308">
        <v>1600</v>
      </c>
      <c r="C98" s="308" t="str">
        <f>'Bilan début-fin'!C25</f>
        <v xml:space="preserve"> Immobilisations incorporelles</v>
      </c>
      <c r="D98" s="308"/>
      <c r="E98" s="308"/>
      <c r="F98" s="308"/>
      <c r="G98" s="1031">
        <f>'Bilan début-fin'!E25</f>
        <v>0</v>
      </c>
      <c r="H98" s="1031">
        <f>'Bilan début-fin'!J25</f>
        <v>0</v>
      </c>
      <c r="I98" s="1032">
        <f t="shared" si="1"/>
        <v>0</v>
      </c>
      <c r="J98" s="308"/>
      <c r="K98" s="986"/>
    </row>
    <row r="99" spans="2:12" ht="16" x14ac:dyDescent="0.2">
      <c r="B99" s="308">
        <v>1700</v>
      </c>
      <c r="C99" s="308" t="str">
        <f>'Bilan début-fin'!C26</f>
        <v xml:space="preserve"> Achalandage (Goodwill)</v>
      </c>
      <c r="D99" s="308"/>
      <c r="E99" s="308"/>
      <c r="F99" s="308"/>
      <c r="G99" s="1031">
        <f>'Bilan début-fin'!E26</f>
        <v>0</v>
      </c>
      <c r="H99" s="1031">
        <f>'Bilan début-fin'!J26</f>
        <v>0</v>
      </c>
      <c r="I99" s="1032">
        <f t="shared" si="1"/>
        <v>0</v>
      </c>
      <c r="J99" s="308"/>
      <c r="K99" s="986"/>
    </row>
    <row r="100" spans="2:12" ht="16" x14ac:dyDescent="0.2">
      <c r="B100" s="1001"/>
      <c r="C100" s="1001" t="s">
        <v>435</v>
      </c>
      <c r="D100" s="1001"/>
      <c r="E100" s="1001"/>
      <c r="F100" s="1001"/>
      <c r="G100" s="1033">
        <v>0</v>
      </c>
      <c r="H100" s="1033">
        <v>0</v>
      </c>
      <c r="I100" s="1034">
        <f t="shared" si="1"/>
        <v>0</v>
      </c>
      <c r="J100" s="308"/>
      <c r="K100" s="986"/>
    </row>
    <row r="101" spans="2:12" ht="19" x14ac:dyDescent="0.35">
      <c r="B101" s="308"/>
      <c r="C101" s="308"/>
      <c r="D101" s="308"/>
      <c r="E101" s="308"/>
      <c r="F101" s="308"/>
      <c r="G101" s="1035">
        <f>+G95+G96+G98+G99</f>
        <v>186000</v>
      </c>
      <c r="H101" s="1036">
        <f>+H95+H96+H98+H99</f>
        <v>286000</v>
      </c>
      <c r="I101" s="1037">
        <f>G101-H101</f>
        <v>-100000</v>
      </c>
      <c r="J101" s="308"/>
      <c r="K101" s="986"/>
    </row>
    <row r="102" spans="2:12" ht="20" thickBot="1" x14ac:dyDescent="0.4">
      <c r="B102" s="308"/>
      <c r="C102" s="308"/>
      <c r="D102" s="308"/>
      <c r="E102" s="308"/>
      <c r="F102" s="308"/>
      <c r="G102" s="992"/>
      <c r="H102" s="992"/>
      <c r="I102" s="992"/>
      <c r="J102" s="996"/>
      <c r="K102" s="986"/>
    </row>
    <row r="103" spans="2:12" ht="21" thickTop="1" thickBot="1" x14ac:dyDescent="0.4">
      <c r="B103" s="1468" t="s">
        <v>436</v>
      </c>
      <c r="C103" s="1469"/>
      <c r="D103" s="1469"/>
      <c r="E103" s="1469"/>
      <c r="F103" s="1469"/>
      <c r="G103" s="1469"/>
      <c r="H103" s="1469"/>
      <c r="I103" s="1469"/>
      <c r="J103" s="1022">
        <f>I101</f>
        <v>-100000</v>
      </c>
      <c r="K103" s="1019" t="s">
        <v>2</v>
      </c>
    </row>
    <row r="104" spans="2:12" ht="18" thickTop="1" thickBot="1" x14ac:dyDescent="0.25">
      <c r="B104" s="308"/>
      <c r="C104" s="308"/>
      <c r="D104" s="308"/>
      <c r="E104" s="308"/>
      <c r="F104" s="308"/>
      <c r="G104" s="308"/>
      <c r="H104" s="308"/>
      <c r="I104" s="308"/>
      <c r="J104" s="308"/>
      <c r="K104" s="308"/>
    </row>
    <row r="105" spans="2:12" ht="20" thickTop="1" x14ac:dyDescent="0.35">
      <c r="B105" s="308"/>
      <c r="C105" s="1461" t="s">
        <v>438</v>
      </c>
      <c r="D105" s="1461"/>
      <c r="E105" s="1461"/>
      <c r="F105" s="1461"/>
      <c r="G105" s="1461"/>
      <c r="H105" s="1461"/>
      <c r="I105" s="1461"/>
      <c r="J105" s="1023">
        <f>J68+J89+J103</f>
        <v>1650.4721729903249</v>
      </c>
      <c r="K105" s="994" t="s">
        <v>424</v>
      </c>
    </row>
    <row r="106" spans="2:12" ht="16" x14ac:dyDescent="0.2">
      <c r="B106" s="308"/>
      <c r="C106" s="308"/>
      <c r="D106" s="308"/>
      <c r="E106" s="308"/>
      <c r="F106" s="308"/>
      <c r="G106" s="308"/>
      <c r="H106" s="308"/>
      <c r="I106" s="308"/>
      <c r="J106" s="1024" t="s">
        <v>2</v>
      </c>
      <c r="K106" s="308"/>
    </row>
    <row r="107" spans="2:12" ht="16" x14ac:dyDescent="0.2">
      <c r="B107" s="308"/>
      <c r="C107" s="1461" t="s">
        <v>439</v>
      </c>
      <c r="D107" s="1461"/>
      <c r="E107" s="1461"/>
      <c r="F107" s="1461"/>
      <c r="G107" s="1461"/>
      <c r="H107" s="1461"/>
      <c r="I107" s="1461"/>
      <c r="J107" s="1025">
        <f>'Bilan début-fin'!E14</f>
        <v>29008.1</v>
      </c>
      <c r="K107" s="1026" t="s">
        <v>2</v>
      </c>
    </row>
    <row r="108" spans="2:12" ht="17" thickBot="1" x14ac:dyDescent="0.25">
      <c r="B108" s="308"/>
      <c r="C108" s="308"/>
      <c r="D108" s="308"/>
      <c r="E108" s="308"/>
      <c r="F108" s="308"/>
      <c r="G108" s="308"/>
      <c r="H108" s="308"/>
      <c r="I108" s="308"/>
      <c r="J108" s="1024"/>
      <c r="K108" s="308" t="s">
        <v>2</v>
      </c>
    </row>
    <row r="109" spans="2:12" ht="21" thickTop="1" thickBot="1" x14ac:dyDescent="0.4">
      <c r="B109" s="308"/>
      <c r="C109" s="1461" t="s">
        <v>440</v>
      </c>
      <c r="D109" s="1461"/>
      <c r="E109" s="1461"/>
      <c r="F109" s="1461"/>
      <c r="G109" s="1461"/>
      <c r="H109" s="1461"/>
      <c r="I109" s="1461"/>
      <c r="J109" s="1027">
        <f>+J105+J107</f>
        <v>30658.572172990323</v>
      </c>
      <c r="K109" s="1026" t="s">
        <v>2</v>
      </c>
      <c r="L109" s="312" t="s">
        <v>2</v>
      </c>
    </row>
    <row r="110" spans="2:12" ht="18" thickTop="1" thickBot="1" x14ac:dyDescent="0.25">
      <c r="B110" s="308"/>
      <c r="C110" s="308"/>
      <c r="D110" s="308"/>
      <c r="E110" s="308"/>
      <c r="F110" s="308"/>
      <c r="G110" s="308"/>
      <c r="H110" s="308"/>
      <c r="I110" s="308"/>
      <c r="J110" s="1028"/>
      <c r="K110" s="308"/>
    </row>
    <row r="111" spans="2:12" ht="18" customHeight="1" thickTop="1" thickBot="1" x14ac:dyDescent="0.4">
      <c r="B111" s="308"/>
      <c r="C111" s="1459" t="s">
        <v>441</v>
      </c>
      <c r="D111" s="1460"/>
      <c r="E111" s="1460"/>
      <c r="F111" s="1460"/>
      <c r="G111" s="1460"/>
      <c r="H111" s="1460"/>
      <c r="I111" s="1460"/>
      <c r="J111" s="1029">
        <f>'Bilan début-fin'!J14</f>
        <v>30658.57</v>
      </c>
      <c r="K111" s="847"/>
    </row>
    <row r="112" spans="2:12" ht="17" thickTop="1" x14ac:dyDescent="0.2">
      <c r="B112" s="308"/>
      <c r="C112" s="308"/>
      <c r="D112" s="308"/>
      <c r="E112" s="308"/>
      <c r="F112" s="308"/>
      <c r="G112" s="308"/>
      <c r="H112" s="308"/>
      <c r="I112" s="308"/>
      <c r="J112" s="988"/>
      <c r="K112" s="308"/>
    </row>
    <row r="113" spans="2:12" ht="16" x14ac:dyDescent="0.2">
      <c r="B113" s="308"/>
      <c r="C113" s="308"/>
      <c r="D113" s="308"/>
      <c r="E113" s="308"/>
      <c r="F113" s="308"/>
      <c r="G113" s="308"/>
      <c r="H113" s="1030" t="s">
        <v>2</v>
      </c>
      <c r="I113" s="1030" t="s">
        <v>2</v>
      </c>
      <c r="J113" s="988">
        <f>J109-J111</f>
        <v>2.1729903237428516E-3</v>
      </c>
      <c r="K113" s="308" t="s">
        <v>2</v>
      </c>
      <c r="L113" s="161" t="s">
        <v>2</v>
      </c>
    </row>
    <row r="114" spans="2:12" x14ac:dyDescent="0.15">
      <c r="J114" s="312" t="s">
        <v>2</v>
      </c>
    </row>
    <row r="115" spans="2:12" x14ac:dyDescent="0.15">
      <c r="J115" s="312" t="s">
        <v>2</v>
      </c>
    </row>
    <row r="116" spans="2:12" x14ac:dyDescent="0.15">
      <c r="J116" s="312"/>
    </row>
    <row r="117" spans="2:12" x14ac:dyDescent="0.15">
      <c r="J117" s="312"/>
    </row>
    <row r="118" spans="2:12" x14ac:dyDescent="0.15">
      <c r="J118" s="312"/>
    </row>
    <row r="119" spans="2:12" x14ac:dyDescent="0.15">
      <c r="J119" s="312"/>
    </row>
    <row r="120" spans="2:12" x14ac:dyDescent="0.15">
      <c r="J120" s="312"/>
    </row>
  </sheetData>
  <sheetProtection algorithmName="SHA-512" hashValue="VLBoPG9NQZ554aD2iSSlPecBTipuyaJpYJHb9YeIgRFr354VbzZ9YropUWreoa/82xYyXFIPB7J+jgq7lfOeGQ==" saltValue="V2kOiTy92oOwEPIH6Z+nqw==" spinCount="100000" sheet="1" objects="1" scenarios="1"/>
  <mergeCells count="22">
    <mergeCell ref="C46:I46"/>
    <mergeCell ref="B2:K2"/>
    <mergeCell ref="B3:K3"/>
    <mergeCell ref="B5:K5"/>
    <mergeCell ref="C8:E8"/>
    <mergeCell ref="C9:E9"/>
    <mergeCell ref="B13:K13"/>
    <mergeCell ref="B19:K19"/>
    <mergeCell ref="B30:K30"/>
    <mergeCell ref="B36:K36"/>
    <mergeCell ref="B40:K40"/>
    <mergeCell ref="C42:I42"/>
    <mergeCell ref="C111:I111"/>
    <mergeCell ref="C105:I105"/>
    <mergeCell ref="C107:I107"/>
    <mergeCell ref="C109:I109"/>
    <mergeCell ref="C66:I66"/>
    <mergeCell ref="C68:I68"/>
    <mergeCell ref="B70:K70"/>
    <mergeCell ref="B89:I89"/>
    <mergeCell ref="B91:K91"/>
    <mergeCell ref="B103:I103"/>
  </mergeCells>
  <pageMargins left="0.75" right="0.75" top="1" bottom="1" header="0.5" footer="0.5"/>
  <pageSetup orientation="portrait" horizontalDpi="4294967292" verticalDpi="4294967292"/>
  <ignoredErrors>
    <ignoredError sqref="J8:J10 J21:J27 J32:J33 J38 J44 I50:I53 I57:I63 I74:I78 I82:I87 I95:I101 J15:J16"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E8462-C123-0F46-A18F-0E36AB3CE4F7}">
  <sheetPr>
    <tabColor theme="0" tint="-0.499984740745262"/>
  </sheetPr>
  <dimension ref="A1:ET182"/>
  <sheetViews>
    <sheetView topLeftCell="D24" zoomScale="150" zoomScaleNormal="150" zoomScalePageLayoutView="150" workbookViewId="0">
      <selection activeCell="I26" sqref="I26"/>
    </sheetView>
  </sheetViews>
  <sheetFormatPr baseColWidth="10" defaultRowHeight="13" x14ac:dyDescent="0.15"/>
  <cols>
    <col min="1" max="1" width="1.5" style="161" customWidth="1"/>
    <col min="2" max="2" width="0.83203125" style="161" customWidth="1"/>
    <col min="3" max="3" width="17.5" style="161" bestFit="1" customWidth="1"/>
    <col min="4" max="4" width="0.83203125" style="161" customWidth="1"/>
    <col min="5" max="5" width="29.83203125" style="161" customWidth="1"/>
    <col min="6" max="6" width="0.83203125" style="161" customWidth="1"/>
    <col min="7" max="7" width="67.33203125" style="161" customWidth="1"/>
    <col min="8" max="8" width="0.83203125" style="161" customWidth="1"/>
    <col min="9" max="9" width="12.83203125" style="161" customWidth="1"/>
    <col min="10" max="10" width="11.1640625" style="161" customWidth="1"/>
    <col min="11" max="11" width="0.83203125" style="161" customWidth="1"/>
    <col min="12" max="12" width="31.83203125" style="161" customWidth="1"/>
    <col min="13" max="13" width="0.83203125" style="161" customWidth="1"/>
    <col min="14" max="14" width="73.5" style="161" customWidth="1"/>
    <col min="15" max="15" width="0.6640625" style="161" customWidth="1"/>
    <col min="16" max="16384" width="10.83203125" style="161"/>
  </cols>
  <sheetData>
    <row r="1" spans="1:150" ht="14" thickBot="1" x14ac:dyDescent="0.2"/>
    <row r="2" spans="1:150" ht="14" thickTop="1" x14ac:dyDescent="0.15">
      <c r="C2" s="1495" t="str">
        <f>'État des Résultats'!C2</f>
        <v>Les Multiples Plaisirs gourmands</v>
      </c>
      <c r="D2" s="1496"/>
      <c r="E2" s="1496"/>
      <c r="F2" s="1496"/>
      <c r="G2" s="1497"/>
    </row>
    <row r="3" spans="1:150" ht="16" x14ac:dyDescent="0.2">
      <c r="B3" s="847"/>
      <c r="C3" s="1422" t="s">
        <v>525</v>
      </c>
      <c r="D3" s="1498"/>
      <c r="E3" s="1498"/>
      <c r="F3" s="1498"/>
      <c r="G3" s="1499"/>
    </row>
    <row r="4" spans="1:150" ht="17" thickBot="1" x14ac:dyDescent="0.25">
      <c r="B4" s="847"/>
      <c r="C4" s="1500" t="str">
        <f>'État des Résultats'!C4</f>
        <v>Pour la période du 1er janvier 2021 au 31 décembre 2021</v>
      </c>
      <c r="D4" s="1501"/>
      <c r="E4" s="1501"/>
      <c r="F4" s="1501"/>
      <c r="G4" s="1435"/>
    </row>
    <row r="5" spans="1:150" ht="17" thickTop="1" x14ac:dyDescent="0.2">
      <c r="B5" s="847"/>
      <c r="C5" s="848"/>
      <c r="D5" s="845"/>
      <c r="E5" s="845"/>
      <c r="F5" s="845"/>
      <c r="G5" s="845"/>
    </row>
    <row r="6" spans="1:150" ht="17" thickBot="1" x14ac:dyDescent="0.25">
      <c r="B6" s="847"/>
      <c r="C6" s="848"/>
      <c r="D6" s="845"/>
      <c r="E6" s="845"/>
      <c r="F6" s="845"/>
      <c r="G6" s="845"/>
    </row>
    <row r="7" spans="1:150" ht="28" customHeight="1" thickTop="1" x14ac:dyDescent="0.2">
      <c r="B7" s="847"/>
      <c r="C7" s="1491" t="s">
        <v>442</v>
      </c>
      <c r="D7" s="209"/>
      <c r="E7" s="1491" t="s">
        <v>443</v>
      </c>
      <c r="F7" s="209"/>
      <c r="G7" s="1503" t="s">
        <v>444</v>
      </c>
      <c r="I7" s="1487" t="s">
        <v>126</v>
      </c>
      <c r="J7" s="1489" t="s">
        <v>2</v>
      </c>
      <c r="L7" s="1491" t="s">
        <v>445</v>
      </c>
      <c r="N7" s="849" t="s">
        <v>446</v>
      </c>
    </row>
    <row r="8" spans="1:150" ht="28" customHeight="1" thickBot="1" x14ac:dyDescent="0.25">
      <c r="A8" s="947"/>
      <c r="B8" s="847"/>
      <c r="C8" s="1502"/>
      <c r="D8" s="209"/>
      <c r="E8" s="1492"/>
      <c r="F8" s="209"/>
      <c r="G8" s="1504"/>
      <c r="I8" s="1488"/>
      <c r="J8" s="1490"/>
      <c r="L8" s="1492"/>
      <c r="N8" s="850" t="s">
        <v>447</v>
      </c>
    </row>
    <row r="9" spans="1:150" ht="18" thickTop="1" thickBot="1" x14ac:dyDescent="0.25">
      <c r="B9" s="847"/>
      <c r="L9" s="851"/>
    </row>
    <row r="10" spans="1:150" ht="6" customHeight="1" thickTop="1" x14ac:dyDescent="0.15">
      <c r="B10" s="852"/>
      <c r="C10" s="853"/>
      <c r="D10" s="853"/>
      <c r="E10" s="853"/>
      <c r="F10" s="853"/>
      <c r="G10" s="853"/>
      <c r="H10" s="853"/>
      <c r="I10" s="853"/>
      <c r="J10" s="853"/>
      <c r="K10" s="853"/>
      <c r="L10" s="853"/>
      <c r="M10" s="853"/>
      <c r="N10" s="853"/>
      <c r="O10" s="854"/>
    </row>
    <row r="11" spans="1:150" x14ac:dyDescent="0.15">
      <c r="B11" s="855"/>
      <c r="C11" s="856" t="s">
        <v>448</v>
      </c>
      <c r="D11" s="857"/>
      <c r="E11" s="858" t="s">
        <v>449</v>
      </c>
      <c r="F11" s="857"/>
      <c r="G11" s="858" t="s">
        <v>450</v>
      </c>
      <c r="H11" s="857"/>
      <c r="I11" s="1493" t="s">
        <v>451</v>
      </c>
      <c r="J11" s="1494"/>
      <c r="K11" s="858"/>
      <c r="L11" s="858" t="s">
        <v>452</v>
      </c>
      <c r="M11" s="857"/>
      <c r="N11" s="859" t="s">
        <v>453</v>
      </c>
      <c r="O11" s="860"/>
      <c r="P11" s="187"/>
      <c r="Q11" s="187"/>
      <c r="R11" s="187"/>
      <c r="S11" s="187"/>
      <c r="T11" s="187"/>
      <c r="U11" s="187"/>
      <c r="V11" s="187"/>
      <c r="W11" s="187"/>
      <c r="X11" s="187"/>
      <c r="Y11" s="187"/>
    </row>
    <row r="12" spans="1:150" ht="6" customHeight="1" thickBot="1" x14ac:dyDescent="0.2">
      <c r="B12" s="855"/>
      <c r="C12" s="861"/>
      <c r="D12" s="861"/>
      <c r="E12" s="861" t="s">
        <v>2</v>
      </c>
      <c r="F12" s="861"/>
      <c r="G12" s="861"/>
      <c r="H12" s="861"/>
      <c r="I12" s="861"/>
      <c r="J12" s="861"/>
      <c r="K12" s="861"/>
      <c r="L12" s="861"/>
      <c r="M12" s="861"/>
      <c r="N12" s="861"/>
      <c r="O12" s="862"/>
      <c r="ET12" s="161">
        <v>111</v>
      </c>
    </row>
    <row r="13" spans="1:150" ht="41.25" customHeight="1" thickTop="1" thickBot="1" x14ac:dyDescent="0.2">
      <c r="B13" s="855"/>
      <c r="C13" s="863" t="s">
        <v>454</v>
      </c>
      <c r="D13" s="864"/>
      <c r="E13" s="865" t="s">
        <v>455</v>
      </c>
      <c r="F13" s="866"/>
      <c r="G13" s="867" t="s">
        <v>456</v>
      </c>
      <c r="H13" s="866"/>
      <c r="I13" s="948">
        <f>'État des Résultats'!AP41/'Bilan début-fin'!J64</f>
        <v>0.58983051138804643</v>
      </c>
      <c r="J13" s="868" t="s">
        <v>2</v>
      </c>
      <c r="K13" s="866"/>
      <c r="L13" s="865" t="s">
        <v>457</v>
      </c>
      <c r="M13" s="866"/>
      <c r="N13" s="869" t="s">
        <v>458</v>
      </c>
      <c r="O13" s="870"/>
    </row>
    <row r="14" spans="1:150" ht="48" customHeight="1" thickTop="1" thickBot="1" x14ac:dyDescent="0.2">
      <c r="B14" s="855"/>
      <c r="C14" s="871"/>
      <c r="D14" s="872"/>
      <c r="E14" s="873" t="s">
        <v>459</v>
      </c>
      <c r="F14" s="872"/>
      <c r="G14" s="874" t="s">
        <v>521</v>
      </c>
      <c r="H14" s="872"/>
      <c r="I14" s="949">
        <f>'État des Résultats'!AP41/('Bilan début-fin'!J52+'Bilan début-fin'!J64)</f>
        <v>0.30570509165405074</v>
      </c>
      <c r="J14" s="875" t="s">
        <v>2</v>
      </c>
      <c r="K14" s="872"/>
      <c r="L14" s="876" t="s">
        <v>460</v>
      </c>
      <c r="M14" s="872"/>
      <c r="N14" s="877" t="s">
        <v>461</v>
      </c>
      <c r="O14" s="870"/>
    </row>
    <row r="15" spans="1:150" ht="43" thickBot="1" x14ac:dyDescent="0.2">
      <c r="B15" s="855"/>
      <c r="C15" s="878"/>
      <c r="D15" s="879"/>
      <c r="E15" s="880" t="s">
        <v>462</v>
      </c>
      <c r="F15" s="879"/>
      <c r="G15" s="881" t="s">
        <v>463</v>
      </c>
      <c r="H15" s="882"/>
      <c r="I15" s="950">
        <f>'État des Résultats'!AP41/'Bilan début-fin'!J30</f>
        <v>0.27722048341951078</v>
      </c>
      <c r="J15" s="883"/>
      <c r="K15" s="879"/>
      <c r="L15" s="880" t="s">
        <v>464</v>
      </c>
      <c r="M15" s="879"/>
      <c r="N15" s="884" t="s">
        <v>465</v>
      </c>
      <c r="O15" s="870"/>
    </row>
    <row r="16" spans="1:150" ht="5" customHeight="1" thickBot="1" x14ac:dyDescent="0.2">
      <c r="B16" s="855"/>
      <c r="C16" s="885"/>
      <c r="D16" s="886"/>
      <c r="E16" s="887"/>
      <c r="F16" s="886"/>
      <c r="G16" s="887"/>
      <c r="H16" s="887"/>
      <c r="I16" s="888"/>
      <c r="J16" s="889" t="s">
        <v>2</v>
      </c>
      <c r="K16" s="886"/>
      <c r="L16" s="887"/>
      <c r="M16" s="886"/>
      <c r="N16" s="890"/>
      <c r="O16" s="870"/>
    </row>
    <row r="17" spans="2:15" ht="72" thickTop="1" thickBot="1" x14ac:dyDescent="0.2">
      <c r="B17" s="855"/>
      <c r="C17" s="891" t="s">
        <v>466</v>
      </c>
      <c r="D17" s="864"/>
      <c r="E17" s="865" t="s">
        <v>467</v>
      </c>
      <c r="F17" s="892"/>
      <c r="G17" s="867" t="s">
        <v>468</v>
      </c>
      <c r="H17" s="892"/>
      <c r="I17" s="951">
        <f>'État des Résultats'!AP41/'État des Résultats'!AP14</f>
        <v>8.1244778915677607E-2</v>
      </c>
      <c r="J17" s="893" t="s">
        <v>2</v>
      </c>
      <c r="K17" s="892"/>
      <c r="L17" s="865" t="s">
        <v>469</v>
      </c>
      <c r="M17" s="892"/>
      <c r="N17" s="869" t="s">
        <v>470</v>
      </c>
      <c r="O17" s="870"/>
    </row>
    <row r="18" spans="2:15" ht="57" customHeight="1" thickBot="1" x14ac:dyDescent="0.2">
      <c r="B18" s="855"/>
      <c r="C18" s="894"/>
      <c r="D18" s="895"/>
      <c r="E18" s="896" t="s">
        <v>471</v>
      </c>
      <c r="F18" s="897"/>
      <c r="G18" s="898" t="s">
        <v>472</v>
      </c>
      <c r="H18" s="897"/>
      <c r="I18" s="952">
        <f>'État des Résultats'!AP25/'État des Résultats'!AP14</f>
        <v>0.31798705390737037</v>
      </c>
      <c r="J18" s="899" t="s">
        <v>2</v>
      </c>
      <c r="K18" s="895"/>
      <c r="L18" s="896" t="s">
        <v>473</v>
      </c>
      <c r="M18" s="895"/>
      <c r="N18" s="900" t="s">
        <v>474</v>
      </c>
      <c r="O18" s="870"/>
    </row>
    <row r="19" spans="2:15" ht="57" customHeight="1" thickTop="1" thickBot="1" x14ac:dyDescent="0.2">
      <c r="B19" s="855"/>
      <c r="C19" s="901"/>
      <c r="D19" s="886"/>
      <c r="E19" s="902" t="s">
        <v>475</v>
      </c>
      <c r="F19" s="886"/>
      <c r="G19" s="903" t="s">
        <v>476</v>
      </c>
      <c r="H19" s="886"/>
      <c r="I19" s="953">
        <f>'État des Résultats'!AP36/'État des Résultats'!AP14</f>
        <v>0.10819996595988973</v>
      </c>
      <c r="J19" s="904" t="s">
        <v>2</v>
      </c>
      <c r="K19" s="886"/>
      <c r="L19" s="905"/>
      <c r="M19" s="886"/>
      <c r="N19" s="906"/>
      <c r="O19" s="870"/>
    </row>
    <row r="20" spans="2:15" ht="8" customHeight="1" thickTop="1" thickBot="1" x14ac:dyDescent="0.2">
      <c r="B20" s="855"/>
      <c r="C20" s="907"/>
      <c r="D20" s="886"/>
      <c r="E20" s="887"/>
      <c r="F20" s="886"/>
      <c r="G20" s="886"/>
      <c r="H20" s="886"/>
      <c r="I20" s="888" t="s">
        <v>2</v>
      </c>
      <c r="J20" s="889"/>
      <c r="K20" s="886"/>
      <c r="L20" s="887"/>
      <c r="M20" s="886"/>
      <c r="N20" s="890"/>
      <c r="O20" s="870"/>
    </row>
    <row r="21" spans="2:15" ht="58" thickTop="1" thickBot="1" x14ac:dyDescent="0.2">
      <c r="B21" s="855"/>
      <c r="C21" s="891" t="s">
        <v>477</v>
      </c>
      <c r="D21" s="866"/>
      <c r="E21" s="865" t="s">
        <v>478</v>
      </c>
      <c r="F21" s="866"/>
      <c r="G21" s="867" t="s">
        <v>479</v>
      </c>
      <c r="H21" s="866"/>
      <c r="I21" s="954">
        <f>'État des Résultats'!AP14/'Bilan début-fin'!J30</f>
        <v>3.4121636752465356</v>
      </c>
      <c r="J21" s="908" t="s">
        <v>45</v>
      </c>
      <c r="K21" s="866"/>
      <c r="L21" s="865" t="s">
        <v>480</v>
      </c>
      <c r="M21" s="866"/>
      <c r="N21" s="869" t="s">
        <v>481</v>
      </c>
      <c r="O21" s="870"/>
    </row>
    <row r="22" spans="2:15" ht="57" thickBot="1" x14ac:dyDescent="0.2">
      <c r="B22" s="855"/>
      <c r="C22" s="909"/>
      <c r="D22" s="879"/>
      <c r="E22" s="910" t="s">
        <v>621</v>
      </c>
      <c r="F22" s="879"/>
      <c r="G22" s="909" t="s">
        <v>482</v>
      </c>
      <c r="H22" s="879"/>
      <c r="I22" s="955">
        <f>'État des Résultats'!AP16/(('Bilan début-fin'!E16+'Bilan début-fin'!J16)/2)</f>
        <v>30.469052770953098</v>
      </c>
      <c r="J22" s="911" t="s">
        <v>45</v>
      </c>
      <c r="K22" s="879"/>
      <c r="L22" s="912" t="s">
        <v>483</v>
      </c>
      <c r="M22" s="879"/>
      <c r="N22" s="912" t="s">
        <v>484</v>
      </c>
      <c r="O22" s="870"/>
    </row>
    <row r="23" spans="2:15" ht="57" thickBot="1" x14ac:dyDescent="0.2">
      <c r="B23" s="855"/>
      <c r="C23" s="909"/>
      <c r="D23" s="879"/>
      <c r="E23" s="912" t="s">
        <v>622</v>
      </c>
      <c r="F23" s="879"/>
      <c r="G23" s="909" t="s">
        <v>485</v>
      </c>
      <c r="H23" s="879"/>
      <c r="I23" s="956">
        <f>365/I22</f>
        <v>11.979368139332626</v>
      </c>
      <c r="J23" s="913" t="s">
        <v>486</v>
      </c>
      <c r="K23" s="879"/>
      <c r="L23" s="912" t="s">
        <v>487</v>
      </c>
      <c r="M23" s="879"/>
      <c r="N23" s="912" t="s">
        <v>488</v>
      </c>
      <c r="O23" s="870"/>
    </row>
    <row r="24" spans="2:15" ht="59" thickBot="1" x14ac:dyDescent="0.2">
      <c r="B24" s="855"/>
      <c r="C24" s="914"/>
      <c r="D24" s="879"/>
      <c r="E24" s="915" t="s">
        <v>489</v>
      </c>
      <c r="F24" s="879"/>
      <c r="G24" s="881" t="s">
        <v>490</v>
      </c>
      <c r="H24" s="879"/>
      <c r="I24" s="957" t="e">
        <f>'État des Résultats'!AP14/(('Bilan début-fin'!E15+'Bilan début-fin'!J15)/2)</f>
        <v>#DIV/0!</v>
      </c>
      <c r="J24" s="916" t="s">
        <v>45</v>
      </c>
      <c r="K24" s="879"/>
      <c r="L24" s="880" t="s">
        <v>491</v>
      </c>
      <c r="M24" s="879"/>
      <c r="N24" s="884" t="s">
        <v>492</v>
      </c>
      <c r="O24" s="870"/>
    </row>
    <row r="25" spans="2:15" ht="71" thickBot="1" x14ac:dyDescent="0.2">
      <c r="B25" s="855"/>
      <c r="C25" s="914"/>
      <c r="D25" s="879"/>
      <c r="E25" s="915" t="s">
        <v>493</v>
      </c>
      <c r="F25" s="879"/>
      <c r="G25" s="881" t="s">
        <v>494</v>
      </c>
      <c r="H25" s="879"/>
      <c r="I25" s="957" t="e">
        <f>365/I24</f>
        <v>#DIV/0!</v>
      </c>
      <c r="J25" s="916" t="s">
        <v>486</v>
      </c>
      <c r="K25" s="879"/>
      <c r="L25" s="880" t="s">
        <v>495</v>
      </c>
      <c r="M25" s="879"/>
      <c r="N25" s="884" t="s">
        <v>496</v>
      </c>
      <c r="O25" s="870"/>
    </row>
    <row r="26" spans="2:15" ht="62" customHeight="1" thickBot="1" x14ac:dyDescent="0.2">
      <c r="B26" s="855"/>
      <c r="C26" s="917"/>
      <c r="D26" s="879"/>
      <c r="E26" s="915" t="s">
        <v>623</v>
      </c>
      <c r="F26" s="879"/>
      <c r="G26" s="909" t="s">
        <v>497</v>
      </c>
      <c r="H26" s="879"/>
      <c r="I26" s="958">
        <f>'État des Résultats'!AP16/(('Bilan début-fin'!E38+'Bilan début-fin'!J38-'État des Résultats'!AP43)/2)</f>
        <v>47.801340165868503</v>
      </c>
      <c r="J26" s="911" t="s">
        <v>45</v>
      </c>
      <c r="K26" s="879"/>
      <c r="L26" s="918"/>
      <c r="M26" s="879"/>
      <c r="N26" s="919"/>
      <c r="O26" s="870"/>
    </row>
    <row r="27" spans="2:15" ht="71" thickBot="1" x14ac:dyDescent="0.2">
      <c r="B27" s="855"/>
      <c r="C27" s="909"/>
      <c r="D27" s="879"/>
      <c r="E27" s="912" t="s">
        <v>498</v>
      </c>
      <c r="F27" s="879"/>
      <c r="G27" s="881" t="s">
        <v>499</v>
      </c>
      <c r="H27" s="879"/>
      <c r="I27" s="959">
        <f>365/I26</f>
        <v>7.6357691799741678</v>
      </c>
      <c r="J27" s="911" t="s">
        <v>486</v>
      </c>
      <c r="K27" s="879"/>
      <c r="L27" s="912" t="s">
        <v>500</v>
      </c>
      <c r="M27" s="879"/>
      <c r="N27" s="910" t="s">
        <v>501</v>
      </c>
      <c r="O27" s="870"/>
    </row>
    <row r="28" spans="2:15" ht="5" customHeight="1" thickBot="1" x14ac:dyDescent="0.2">
      <c r="B28" s="855"/>
      <c r="C28" s="920"/>
      <c r="D28" s="886"/>
      <c r="E28" s="887"/>
      <c r="F28" s="886"/>
      <c r="G28" s="887"/>
      <c r="H28" s="886"/>
      <c r="I28" s="921"/>
      <c r="J28" s="922"/>
      <c r="K28" s="886"/>
      <c r="L28" s="887"/>
      <c r="M28" s="886"/>
      <c r="N28" s="923"/>
      <c r="O28" s="870"/>
    </row>
    <row r="29" spans="2:15" ht="57" customHeight="1" thickBot="1" x14ac:dyDescent="0.2">
      <c r="B29" s="855"/>
      <c r="C29" s="924" t="s">
        <v>502</v>
      </c>
      <c r="D29" s="879"/>
      <c r="E29" s="925" t="s">
        <v>503</v>
      </c>
      <c r="F29" s="879"/>
      <c r="G29" s="926" t="s">
        <v>504</v>
      </c>
      <c r="H29" s="879"/>
      <c r="I29" s="960">
        <f>'Bilan début-fin'!J30/'Bilan début-fin'!J64</f>
        <v>2.1276584764318107</v>
      </c>
      <c r="J29" s="927" t="s">
        <v>2</v>
      </c>
      <c r="K29" s="879"/>
      <c r="L29" s="925" t="s">
        <v>505</v>
      </c>
      <c r="M29" s="879"/>
      <c r="N29" s="928" t="s">
        <v>506</v>
      </c>
      <c r="O29" s="870"/>
    </row>
    <row r="30" spans="2:15" ht="57" customHeight="1" thickBot="1" x14ac:dyDescent="0.2">
      <c r="B30" s="855"/>
      <c r="C30" s="929"/>
      <c r="D30" s="879"/>
      <c r="E30" s="930"/>
      <c r="F30" s="879"/>
      <c r="G30" s="931" t="s">
        <v>507</v>
      </c>
      <c r="H30" s="879"/>
      <c r="I30" s="957">
        <f>'Bilan début-fin'!J54/'Bilan début-fin'!J64</f>
        <v>1.1276584997056323</v>
      </c>
      <c r="J30" s="932" t="s">
        <v>2</v>
      </c>
      <c r="K30" s="879"/>
      <c r="L30" s="930" t="s">
        <v>505</v>
      </c>
      <c r="M30" s="879"/>
      <c r="N30" s="933" t="s">
        <v>506</v>
      </c>
      <c r="O30" s="870"/>
    </row>
    <row r="31" spans="2:15" ht="60" customHeight="1" thickBot="1" x14ac:dyDescent="0.2">
      <c r="B31" s="855"/>
      <c r="C31" s="929" t="s">
        <v>2</v>
      </c>
      <c r="D31" s="879" t="s">
        <v>2</v>
      </c>
      <c r="E31" s="930" t="s">
        <v>2</v>
      </c>
      <c r="F31" s="879"/>
      <c r="G31" s="931" t="s">
        <v>508</v>
      </c>
      <c r="H31" s="879"/>
      <c r="I31" s="957">
        <f>('Bilan début-fin'!J30/'Bilan début-fin'!J64)/('Bilan début-fin'!J54/'Bilan début-fin'!J64)</f>
        <v>1.8867932773860365</v>
      </c>
      <c r="J31" s="932" t="s">
        <v>2</v>
      </c>
      <c r="K31" s="879"/>
      <c r="L31" s="930" t="s">
        <v>505</v>
      </c>
      <c r="M31" s="879"/>
      <c r="N31" s="933" t="s">
        <v>506</v>
      </c>
      <c r="O31" s="870"/>
    </row>
    <row r="32" spans="2:15" ht="60" customHeight="1" thickBot="1" x14ac:dyDescent="0.2">
      <c r="B32" s="855"/>
      <c r="C32" s="934"/>
      <c r="D32" s="872"/>
      <c r="E32" s="935" t="s">
        <v>509</v>
      </c>
      <c r="F32" s="872"/>
      <c r="G32" s="936" t="s">
        <v>510</v>
      </c>
      <c r="H32" s="872"/>
      <c r="I32" s="961">
        <f>'Bilan début-fin'!J54/'Bilan début-fin'!J30</f>
        <v>0.52999976838236351</v>
      </c>
      <c r="J32" s="937" t="s">
        <v>2</v>
      </c>
      <c r="K32" s="872"/>
      <c r="L32" s="935" t="s">
        <v>511</v>
      </c>
      <c r="M32" s="872"/>
      <c r="N32" s="938" t="s">
        <v>512</v>
      </c>
      <c r="O32" s="870"/>
    </row>
    <row r="33" spans="2:15" ht="99" thickBot="1" x14ac:dyDescent="0.2">
      <c r="B33" s="855"/>
      <c r="C33" s="914"/>
      <c r="D33" s="879"/>
      <c r="E33" s="880" t="s">
        <v>513</v>
      </c>
      <c r="F33" s="879"/>
      <c r="G33" s="881" t="s">
        <v>514</v>
      </c>
      <c r="H33" s="879"/>
      <c r="I33" s="962">
        <f>'Bilan début-fin'!J19/'Bilan début-fin'!J43</f>
        <v>1.4463571564487561</v>
      </c>
      <c r="J33" s="939" t="s">
        <v>2</v>
      </c>
      <c r="K33" s="879"/>
      <c r="L33" s="880" t="s">
        <v>515</v>
      </c>
      <c r="M33" s="879"/>
      <c r="N33" s="940" t="s">
        <v>516</v>
      </c>
      <c r="O33" s="870"/>
    </row>
    <row r="34" spans="2:15" ht="71" thickBot="1" x14ac:dyDescent="0.2">
      <c r="B34" s="855"/>
      <c r="C34" s="914"/>
      <c r="D34" s="879"/>
      <c r="E34" s="880" t="s">
        <v>517</v>
      </c>
      <c r="F34" s="879"/>
      <c r="G34" s="881" t="s">
        <v>518</v>
      </c>
      <c r="H34" s="879"/>
      <c r="I34" s="962">
        <f>('Bilan début-fin'!J19-'Bilan début-fin'!J16)/'Bilan début-fin'!J43</f>
        <v>1.0646724016538687</v>
      </c>
      <c r="J34" s="939" t="s">
        <v>2</v>
      </c>
      <c r="K34" s="879"/>
      <c r="L34" s="880" t="s">
        <v>519</v>
      </c>
      <c r="M34" s="879"/>
      <c r="N34" s="940" t="s">
        <v>520</v>
      </c>
      <c r="O34" s="870"/>
    </row>
    <row r="35" spans="2:15" ht="5" customHeight="1" thickBot="1" x14ac:dyDescent="0.2">
      <c r="B35" s="941"/>
      <c r="C35" s="942"/>
      <c r="D35" s="942"/>
      <c r="E35" s="942"/>
      <c r="F35" s="942"/>
      <c r="G35" s="942"/>
      <c r="H35" s="942"/>
      <c r="I35" s="943">
        <f>+('[2]Bilan (2)'!E19-'[2]Bilan (2)'!E16)/'[2]Bilan (2)'!E44</f>
        <v>2.5432349949135302E-2</v>
      </c>
      <c r="J35" s="944">
        <v>1.34</v>
      </c>
      <c r="K35" s="942"/>
      <c r="L35" s="942"/>
      <c r="M35" s="942"/>
      <c r="N35" s="942"/>
      <c r="O35" s="945"/>
    </row>
    <row r="36" spans="2:15" ht="14" thickTop="1" x14ac:dyDescent="0.15">
      <c r="C36" s="946"/>
      <c r="D36" s="946"/>
      <c r="E36" s="946"/>
      <c r="F36" s="946"/>
      <c r="G36" s="946"/>
      <c r="H36" s="946"/>
      <c r="I36" s="946"/>
      <c r="J36" s="946"/>
      <c r="K36" s="946"/>
      <c r="L36" s="946"/>
      <c r="M36" s="946"/>
      <c r="N36" s="946"/>
      <c r="O36" s="946"/>
    </row>
    <row r="37" spans="2:15" x14ac:dyDescent="0.15">
      <c r="C37" s="946"/>
      <c r="D37" s="946"/>
      <c r="E37" s="946"/>
      <c r="F37" s="946"/>
      <c r="G37" s="946"/>
      <c r="H37" s="946"/>
      <c r="I37" s="946"/>
      <c r="J37" s="946"/>
      <c r="K37" s="946"/>
      <c r="L37" s="946"/>
      <c r="M37" s="946"/>
      <c r="N37" s="946"/>
      <c r="O37" s="946"/>
    </row>
    <row r="38" spans="2:15" x14ac:dyDescent="0.15">
      <c r="C38" s="946"/>
      <c r="D38" s="946"/>
      <c r="E38" s="946"/>
      <c r="F38" s="946"/>
      <c r="G38" s="946"/>
      <c r="H38" s="946"/>
      <c r="I38" s="946"/>
      <c r="J38" s="946"/>
      <c r="K38" s="946"/>
      <c r="L38" s="946"/>
      <c r="M38" s="946"/>
      <c r="N38" s="946"/>
      <c r="O38" s="946"/>
    </row>
    <row r="39" spans="2:15" x14ac:dyDescent="0.15">
      <c r="C39" s="946"/>
      <c r="D39" s="946"/>
      <c r="E39" s="946"/>
      <c r="F39" s="946"/>
      <c r="G39" s="946"/>
      <c r="H39" s="946"/>
      <c r="I39" s="946"/>
      <c r="J39" s="946"/>
      <c r="K39" s="946"/>
      <c r="L39" s="946"/>
      <c r="M39" s="946"/>
      <c r="N39" s="946"/>
      <c r="O39" s="946"/>
    </row>
    <row r="40" spans="2:15" x14ac:dyDescent="0.15">
      <c r="C40" s="946"/>
      <c r="D40" s="946"/>
      <c r="E40" s="946"/>
      <c r="F40" s="946"/>
      <c r="G40" s="946"/>
      <c r="H40" s="946"/>
      <c r="I40" s="946"/>
      <c r="J40" s="946"/>
      <c r="K40" s="946"/>
      <c r="L40" s="946"/>
      <c r="M40" s="946"/>
      <c r="N40" s="946"/>
      <c r="O40" s="946"/>
    </row>
    <row r="41" spans="2:15" x14ac:dyDescent="0.15">
      <c r="C41" s="946"/>
      <c r="D41" s="946"/>
      <c r="E41" s="946"/>
      <c r="F41" s="946"/>
      <c r="G41" s="946"/>
      <c r="H41" s="946"/>
      <c r="I41" s="946"/>
      <c r="J41" s="946"/>
      <c r="K41" s="946"/>
      <c r="L41" s="946"/>
      <c r="M41" s="946"/>
      <c r="N41" s="946"/>
      <c r="O41" s="946"/>
    </row>
    <row r="42" spans="2:15" x14ac:dyDescent="0.15">
      <c r="C42" s="946"/>
      <c r="D42" s="946"/>
      <c r="E42" s="946"/>
      <c r="F42" s="946"/>
      <c r="G42" s="946"/>
      <c r="H42" s="946"/>
      <c r="I42" s="946"/>
      <c r="J42" s="946"/>
      <c r="K42" s="946"/>
      <c r="L42" s="946"/>
      <c r="M42" s="946"/>
      <c r="N42" s="946"/>
      <c r="O42" s="946"/>
    </row>
    <row r="43" spans="2:15" x14ac:dyDescent="0.15">
      <c r="C43" s="946"/>
      <c r="D43" s="946"/>
      <c r="E43" s="946"/>
      <c r="F43" s="946"/>
      <c r="G43" s="946"/>
      <c r="H43" s="946"/>
      <c r="I43" s="946"/>
      <c r="J43" s="946"/>
      <c r="K43" s="946"/>
      <c r="L43" s="946"/>
      <c r="M43" s="946"/>
      <c r="N43" s="946"/>
      <c r="O43" s="946"/>
    </row>
    <row r="44" spans="2:15" x14ac:dyDescent="0.15">
      <c r="C44" s="946"/>
      <c r="D44" s="946"/>
      <c r="E44" s="946"/>
      <c r="F44" s="946"/>
      <c r="G44" s="946"/>
      <c r="H44" s="946"/>
      <c r="I44" s="946"/>
      <c r="J44" s="946"/>
      <c r="K44" s="946"/>
      <c r="L44" s="946"/>
      <c r="M44" s="946"/>
      <c r="N44" s="946"/>
      <c r="O44" s="946"/>
    </row>
    <row r="45" spans="2:15" x14ac:dyDescent="0.15">
      <c r="C45" s="946"/>
      <c r="D45" s="946"/>
      <c r="E45" s="946"/>
      <c r="F45" s="946"/>
      <c r="G45" s="946"/>
      <c r="H45" s="946"/>
      <c r="I45" s="946"/>
      <c r="J45" s="946"/>
      <c r="K45" s="946"/>
      <c r="L45" s="946"/>
      <c r="M45" s="946"/>
      <c r="N45" s="946"/>
      <c r="O45" s="946"/>
    </row>
    <row r="46" spans="2:15" x14ac:dyDescent="0.15">
      <c r="C46" s="946"/>
      <c r="D46" s="946"/>
      <c r="E46" s="946"/>
      <c r="F46" s="946"/>
      <c r="G46" s="946"/>
      <c r="H46" s="946"/>
      <c r="I46" s="946"/>
      <c r="J46" s="946"/>
      <c r="K46" s="946"/>
      <c r="L46" s="946"/>
      <c r="M46" s="946"/>
      <c r="N46" s="946"/>
      <c r="O46" s="946"/>
    </row>
    <row r="47" spans="2:15" x14ac:dyDescent="0.15">
      <c r="C47" s="946"/>
      <c r="D47" s="946"/>
      <c r="E47" s="946"/>
      <c r="F47" s="946"/>
      <c r="G47" s="946"/>
      <c r="H47" s="946"/>
      <c r="I47" s="946"/>
      <c r="J47" s="946"/>
      <c r="K47" s="946"/>
      <c r="L47" s="946"/>
      <c r="M47" s="946"/>
      <c r="N47" s="946"/>
      <c r="O47" s="946"/>
    </row>
    <row r="48" spans="2:15" x14ac:dyDescent="0.15">
      <c r="C48" s="946"/>
      <c r="D48" s="946"/>
      <c r="E48" s="946"/>
      <c r="F48" s="946"/>
      <c r="G48" s="946"/>
      <c r="H48" s="946"/>
      <c r="I48" s="946"/>
      <c r="J48" s="946"/>
      <c r="K48" s="946"/>
      <c r="L48" s="946"/>
      <c r="M48" s="946"/>
      <c r="N48" s="946"/>
      <c r="O48" s="946"/>
    </row>
    <row r="49" spans="9:14" x14ac:dyDescent="0.15">
      <c r="N49" s="946"/>
    </row>
    <row r="54" spans="9:14" x14ac:dyDescent="0.15">
      <c r="I54" s="846"/>
      <c r="J54" s="846"/>
    </row>
    <row r="55" spans="9:14" x14ac:dyDescent="0.15">
      <c r="I55" s="846"/>
      <c r="J55" s="846"/>
    </row>
    <row r="56" spans="9:14" x14ac:dyDescent="0.15">
      <c r="I56" s="846"/>
      <c r="J56" s="846"/>
    </row>
    <row r="57" spans="9:14" x14ac:dyDescent="0.15">
      <c r="I57" s="846"/>
      <c r="J57" s="846"/>
    </row>
    <row r="58" spans="9:14" x14ac:dyDescent="0.15">
      <c r="I58" s="846"/>
      <c r="J58" s="846"/>
    </row>
    <row r="59" spans="9:14" x14ac:dyDescent="0.15">
      <c r="I59" s="846"/>
      <c r="J59" s="846"/>
    </row>
    <row r="60" spans="9:14" x14ac:dyDescent="0.15">
      <c r="I60" s="846"/>
      <c r="J60" s="846"/>
    </row>
    <row r="61" spans="9:14" x14ac:dyDescent="0.15">
      <c r="I61" s="846"/>
      <c r="J61" s="846"/>
    </row>
    <row r="62" spans="9:14" x14ac:dyDescent="0.15">
      <c r="I62" s="846"/>
      <c r="J62" s="846"/>
    </row>
    <row r="63" spans="9:14" x14ac:dyDescent="0.15">
      <c r="I63" s="846"/>
      <c r="J63" s="846"/>
    </row>
    <row r="64" spans="9:14" x14ac:dyDescent="0.15">
      <c r="I64" s="846"/>
      <c r="J64" s="846"/>
    </row>
    <row r="65" spans="9:10" x14ac:dyDescent="0.15">
      <c r="I65" s="846"/>
      <c r="J65" s="846"/>
    </row>
    <row r="66" spans="9:10" x14ac:dyDescent="0.15">
      <c r="I66" s="846"/>
      <c r="J66" s="846"/>
    </row>
    <row r="67" spans="9:10" x14ac:dyDescent="0.15">
      <c r="I67" s="846"/>
      <c r="J67" s="846"/>
    </row>
    <row r="68" spans="9:10" x14ac:dyDescent="0.15">
      <c r="I68" s="846"/>
      <c r="J68" s="846"/>
    </row>
    <row r="69" spans="9:10" x14ac:dyDescent="0.15">
      <c r="I69" s="846"/>
      <c r="J69" s="846"/>
    </row>
    <row r="70" spans="9:10" x14ac:dyDescent="0.15">
      <c r="I70" s="846"/>
      <c r="J70" s="846"/>
    </row>
    <row r="71" spans="9:10" x14ac:dyDescent="0.15">
      <c r="I71" s="846"/>
      <c r="J71" s="846"/>
    </row>
    <row r="72" spans="9:10" x14ac:dyDescent="0.15">
      <c r="I72" s="846"/>
      <c r="J72" s="846"/>
    </row>
    <row r="73" spans="9:10" x14ac:dyDescent="0.15">
      <c r="I73" s="846"/>
      <c r="J73" s="846"/>
    </row>
    <row r="74" spans="9:10" x14ac:dyDescent="0.15">
      <c r="I74" s="846"/>
      <c r="J74" s="846"/>
    </row>
    <row r="75" spans="9:10" x14ac:dyDescent="0.15">
      <c r="I75" s="846"/>
      <c r="J75" s="846"/>
    </row>
    <row r="76" spans="9:10" x14ac:dyDescent="0.15">
      <c r="I76" s="846"/>
      <c r="J76" s="846"/>
    </row>
    <row r="77" spans="9:10" x14ac:dyDescent="0.15">
      <c r="I77" s="846"/>
      <c r="J77" s="846"/>
    </row>
    <row r="78" spans="9:10" x14ac:dyDescent="0.15">
      <c r="I78" s="846"/>
      <c r="J78" s="846"/>
    </row>
    <row r="79" spans="9:10" x14ac:dyDescent="0.15">
      <c r="I79" s="846"/>
      <c r="J79" s="846"/>
    </row>
    <row r="80" spans="9:10" x14ac:dyDescent="0.15">
      <c r="I80" s="846"/>
      <c r="J80" s="846"/>
    </row>
    <row r="81" spans="9:10" x14ac:dyDescent="0.15">
      <c r="I81" s="846"/>
      <c r="J81" s="846"/>
    </row>
    <row r="82" spans="9:10" x14ac:dyDescent="0.15">
      <c r="I82" s="846"/>
      <c r="J82" s="846"/>
    </row>
    <row r="83" spans="9:10" x14ac:dyDescent="0.15">
      <c r="I83" s="846"/>
      <c r="J83" s="846"/>
    </row>
    <row r="84" spans="9:10" x14ac:dyDescent="0.15">
      <c r="I84" s="846"/>
      <c r="J84" s="846"/>
    </row>
    <row r="85" spans="9:10" x14ac:dyDescent="0.15">
      <c r="I85" s="846"/>
      <c r="J85" s="846"/>
    </row>
    <row r="86" spans="9:10" x14ac:dyDescent="0.15">
      <c r="I86" s="846"/>
      <c r="J86" s="846"/>
    </row>
    <row r="87" spans="9:10" x14ac:dyDescent="0.15">
      <c r="I87" s="846"/>
      <c r="J87" s="846"/>
    </row>
    <row r="88" spans="9:10" x14ac:dyDescent="0.15">
      <c r="I88" s="846"/>
      <c r="J88" s="846"/>
    </row>
    <row r="89" spans="9:10" x14ac:dyDescent="0.15">
      <c r="I89" s="846"/>
      <c r="J89" s="846"/>
    </row>
    <row r="90" spans="9:10" x14ac:dyDescent="0.15">
      <c r="I90" s="846"/>
      <c r="J90" s="846"/>
    </row>
    <row r="91" spans="9:10" x14ac:dyDescent="0.15">
      <c r="I91" s="846"/>
      <c r="J91" s="846"/>
    </row>
    <row r="92" spans="9:10" x14ac:dyDescent="0.15">
      <c r="I92" s="846"/>
      <c r="J92" s="846"/>
    </row>
    <row r="93" spans="9:10" x14ac:dyDescent="0.15">
      <c r="I93" s="846"/>
      <c r="J93" s="846"/>
    </row>
    <row r="94" spans="9:10" x14ac:dyDescent="0.15">
      <c r="I94" s="846"/>
      <c r="J94" s="846"/>
    </row>
    <row r="95" spans="9:10" x14ac:dyDescent="0.15">
      <c r="I95" s="846"/>
      <c r="J95" s="846"/>
    </row>
    <row r="96" spans="9:10" x14ac:dyDescent="0.15">
      <c r="I96" s="846"/>
      <c r="J96" s="846"/>
    </row>
    <row r="97" spans="9:10" x14ac:dyDescent="0.15">
      <c r="I97" s="846"/>
      <c r="J97" s="846"/>
    </row>
    <row r="98" spans="9:10" x14ac:dyDescent="0.15">
      <c r="I98" s="846"/>
      <c r="J98" s="846"/>
    </row>
    <row r="99" spans="9:10" x14ac:dyDescent="0.15">
      <c r="I99" s="846"/>
      <c r="J99" s="846"/>
    </row>
    <row r="100" spans="9:10" x14ac:dyDescent="0.15">
      <c r="I100" s="846"/>
      <c r="J100" s="846"/>
    </row>
    <row r="101" spans="9:10" x14ac:dyDescent="0.15">
      <c r="I101" s="846"/>
      <c r="J101" s="846"/>
    </row>
    <row r="102" spans="9:10" x14ac:dyDescent="0.15">
      <c r="I102" s="846"/>
      <c r="J102" s="846"/>
    </row>
    <row r="103" spans="9:10" x14ac:dyDescent="0.15">
      <c r="I103" s="846"/>
      <c r="J103" s="846"/>
    </row>
    <row r="104" spans="9:10" x14ac:dyDescent="0.15">
      <c r="I104" s="846"/>
      <c r="J104" s="846"/>
    </row>
    <row r="105" spans="9:10" x14ac:dyDescent="0.15">
      <c r="I105" s="846"/>
      <c r="J105" s="846"/>
    </row>
    <row r="106" spans="9:10" x14ac:dyDescent="0.15">
      <c r="I106" s="846"/>
      <c r="J106" s="846"/>
    </row>
    <row r="107" spans="9:10" x14ac:dyDescent="0.15">
      <c r="I107" s="846"/>
      <c r="J107" s="846"/>
    </row>
    <row r="108" spans="9:10" x14ac:dyDescent="0.15">
      <c r="I108" s="846"/>
      <c r="J108" s="846"/>
    </row>
    <row r="109" spans="9:10" x14ac:dyDescent="0.15">
      <c r="I109" s="846"/>
      <c r="J109" s="846"/>
    </row>
    <row r="110" spans="9:10" x14ac:dyDescent="0.15">
      <c r="I110" s="846"/>
      <c r="J110" s="846"/>
    </row>
    <row r="111" spans="9:10" x14ac:dyDescent="0.15">
      <c r="I111" s="846"/>
      <c r="J111" s="846"/>
    </row>
    <row r="112" spans="9:10" x14ac:dyDescent="0.15">
      <c r="I112" s="846"/>
      <c r="J112" s="846"/>
    </row>
    <row r="113" spans="9:10" x14ac:dyDescent="0.15">
      <c r="I113" s="846"/>
      <c r="J113" s="846"/>
    </row>
    <row r="114" spans="9:10" x14ac:dyDescent="0.15">
      <c r="I114" s="846"/>
      <c r="J114" s="846"/>
    </row>
    <row r="115" spans="9:10" x14ac:dyDescent="0.15">
      <c r="I115" s="846"/>
      <c r="J115" s="846"/>
    </row>
    <row r="116" spans="9:10" x14ac:dyDescent="0.15">
      <c r="I116" s="846"/>
      <c r="J116" s="846"/>
    </row>
    <row r="117" spans="9:10" x14ac:dyDescent="0.15">
      <c r="I117" s="846"/>
      <c r="J117" s="846"/>
    </row>
    <row r="118" spans="9:10" x14ac:dyDescent="0.15">
      <c r="I118" s="846"/>
      <c r="J118" s="846"/>
    </row>
    <row r="119" spans="9:10" x14ac:dyDescent="0.15">
      <c r="I119" s="846"/>
      <c r="J119" s="846"/>
    </row>
    <row r="120" spans="9:10" x14ac:dyDescent="0.15">
      <c r="I120" s="846"/>
      <c r="J120" s="846"/>
    </row>
    <row r="121" spans="9:10" x14ac:dyDescent="0.15">
      <c r="I121" s="846"/>
      <c r="J121" s="846"/>
    </row>
    <row r="122" spans="9:10" x14ac:dyDescent="0.15">
      <c r="I122" s="846"/>
      <c r="J122" s="846"/>
    </row>
    <row r="123" spans="9:10" x14ac:dyDescent="0.15">
      <c r="I123" s="846"/>
      <c r="J123" s="846"/>
    </row>
    <row r="124" spans="9:10" x14ac:dyDescent="0.15">
      <c r="I124" s="846"/>
      <c r="J124" s="846"/>
    </row>
    <row r="125" spans="9:10" x14ac:dyDescent="0.15">
      <c r="I125" s="846"/>
      <c r="J125" s="846"/>
    </row>
    <row r="126" spans="9:10" x14ac:dyDescent="0.15">
      <c r="I126" s="846"/>
      <c r="J126" s="846"/>
    </row>
    <row r="127" spans="9:10" x14ac:dyDescent="0.15">
      <c r="I127" s="846"/>
      <c r="J127" s="846"/>
    </row>
    <row r="128" spans="9:10" x14ac:dyDescent="0.15">
      <c r="I128" s="846"/>
      <c r="J128" s="846"/>
    </row>
    <row r="129" spans="9:10" x14ac:dyDescent="0.15">
      <c r="I129" s="846"/>
      <c r="J129" s="846"/>
    </row>
    <row r="130" spans="9:10" x14ac:dyDescent="0.15">
      <c r="I130" s="846"/>
      <c r="J130" s="846"/>
    </row>
    <row r="131" spans="9:10" x14ac:dyDescent="0.15">
      <c r="I131" s="846"/>
      <c r="J131" s="846"/>
    </row>
    <row r="132" spans="9:10" x14ac:dyDescent="0.15">
      <c r="I132" s="846"/>
      <c r="J132" s="846"/>
    </row>
    <row r="133" spans="9:10" x14ac:dyDescent="0.15">
      <c r="I133" s="846"/>
      <c r="J133" s="846"/>
    </row>
    <row r="134" spans="9:10" x14ac:dyDescent="0.15">
      <c r="I134" s="846"/>
      <c r="J134" s="846"/>
    </row>
    <row r="135" spans="9:10" x14ac:dyDescent="0.15">
      <c r="I135" s="846"/>
      <c r="J135" s="846"/>
    </row>
    <row r="136" spans="9:10" x14ac:dyDescent="0.15">
      <c r="I136" s="846"/>
      <c r="J136" s="846"/>
    </row>
    <row r="137" spans="9:10" x14ac:dyDescent="0.15">
      <c r="I137" s="846"/>
      <c r="J137" s="846"/>
    </row>
    <row r="138" spans="9:10" x14ac:dyDescent="0.15">
      <c r="I138" s="846"/>
      <c r="J138" s="846"/>
    </row>
    <row r="139" spans="9:10" x14ac:dyDescent="0.15">
      <c r="I139" s="846"/>
      <c r="J139" s="846"/>
    </row>
    <row r="140" spans="9:10" x14ac:dyDescent="0.15">
      <c r="I140" s="846"/>
      <c r="J140" s="846"/>
    </row>
    <row r="141" spans="9:10" x14ac:dyDescent="0.15">
      <c r="I141" s="846"/>
      <c r="J141" s="846"/>
    </row>
    <row r="142" spans="9:10" x14ac:dyDescent="0.15">
      <c r="I142" s="846"/>
      <c r="J142" s="846"/>
    </row>
    <row r="143" spans="9:10" x14ac:dyDescent="0.15">
      <c r="I143" s="846"/>
      <c r="J143" s="846"/>
    </row>
    <row r="144" spans="9:10" x14ac:dyDescent="0.15">
      <c r="I144" s="846"/>
      <c r="J144" s="846"/>
    </row>
    <row r="145" spans="9:10" x14ac:dyDescent="0.15">
      <c r="I145" s="846"/>
      <c r="J145" s="846"/>
    </row>
    <row r="146" spans="9:10" x14ac:dyDescent="0.15">
      <c r="I146" s="846"/>
      <c r="J146" s="846"/>
    </row>
    <row r="147" spans="9:10" x14ac:dyDescent="0.15">
      <c r="I147" s="846"/>
      <c r="J147" s="846"/>
    </row>
    <row r="148" spans="9:10" x14ac:dyDescent="0.15">
      <c r="I148" s="846"/>
      <c r="J148" s="846"/>
    </row>
    <row r="149" spans="9:10" x14ac:dyDescent="0.15">
      <c r="I149" s="846"/>
      <c r="J149" s="846"/>
    </row>
    <row r="150" spans="9:10" x14ac:dyDescent="0.15">
      <c r="I150" s="846"/>
      <c r="J150" s="846"/>
    </row>
    <row r="151" spans="9:10" x14ac:dyDescent="0.15">
      <c r="I151" s="846"/>
      <c r="J151" s="846"/>
    </row>
    <row r="152" spans="9:10" x14ac:dyDescent="0.15">
      <c r="I152" s="846"/>
      <c r="J152" s="846"/>
    </row>
    <row r="153" spans="9:10" x14ac:dyDescent="0.15">
      <c r="I153" s="846"/>
      <c r="J153" s="846"/>
    </row>
    <row r="154" spans="9:10" x14ac:dyDescent="0.15">
      <c r="I154" s="846"/>
      <c r="J154" s="846"/>
    </row>
    <row r="155" spans="9:10" x14ac:dyDescent="0.15">
      <c r="I155" s="846"/>
      <c r="J155" s="846"/>
    </row>
    <row r="156" spans="9:10" x14ac:dyDescent="0.15">
      <c r="I156" s="846"/>
      <c r="J156" s="846"/>
    </row>
    <row r="157" spans="9:10" x14ac:dyDescent="0.15">
      <c r="I157" s="846"/>
      <c r="J157" s="846"/>
    </row>
    <row r="158" spans="9:10" x14ac:dyDescent="0.15">
      <c r="I158" s="846"/>
      <c r="J158" s="846"/>
    </row>
    <row r="159" spans="9:10" x14ac:dyDescent="0.15">
      <c r="I159" s="846"/>
      <c r="J159" s="846"/>
    </row>
    <row r="160" spans="9:10" x14ac:dyDescent="0.15">
      <c r="I160" s="846"/>
      <c r="J160" s="846"/>
    </row>
    <row r="161" spans="9:10" x14ac:dyDescent="0.15">
      <c r="I161" s="846"/>
      <c r="J161" s="846"/>
    </row>
    <row r="162" spans="9:10" x14ac:dyDescent="0.15">
      <c r="I162" s="846"/>
      <c r="J162" s="846"/>
    </row>
    <row r="163" spans="9:10" x14ac:dyDescent="0.15">
      <c r="I163" s="846"/>
      <c r="J163" s="846"/>
    </row>
    <row r="164" spans="9:10" x14ac:dyDescent="0.15">
      <c r="I164" s="846"/>
      <c r="J164" s="846"/>
    </row>
    <row r="165" spans="9:10" x14ac:dyDescent="0.15">
      <c r="I165" s="846"/>
      <c r="J165" s="846"/>
    </row>
    <row r="166" spans="9:10" x14ac:dyDescent="0.15">
      <c r="I166" s="846"/>
      <c r="J166" s="846"/>
    </row>
    <row r="167" spans="9:10" x14ac:dyDescent="0.15">
      <c r="I167" s="846"/>
      <c r="J167" s="846"/>
    </row>
    <row r="168" spans="9:10" x14ac:dyDescent="0.15">
      <c r="I168" s="846"/>
      <c r="J168" s="846"/>
    </row>
    <row r="169" spans="9:10" x14ac:dyDescent="0.15">
      <c r="I169" s="846"/>
      <c r="J169" s="846"/>
    </row>
    <row r="170" spans="9:10" x14ac:dyDescent="0.15">
      <c r="I170" s="846"/>
      <c r="J170" s="846"/>
    </row>
    <row r="171" spans="9:10" x14ac:dyDescent="0.15">
      <c r="I171" s="846"/>
      <c r="J171" s="846"/>
    </row>
    <row r="172" spans="9:10" x14ac:dyDescent="0.15">
      <c r="I172" s="846"/>
      <c r="J172" s="846"/>
    </row>
    <row r="173" spans="9:10" x14ac:dyDescent="0.15">
      <c r="I173" s="846"/>
      <c r="J173" s="846"/>
    </row>
    <row r="174" spans="9:10" x14ac:dyDescent="0.15">
      <c r="I174" s="846"/>
      <c r="J174" s="846"/>
    </row>
    <row r="175" spans="9:10" x14ac:dyDescent="0.15">
      <c r="I175" s="846"/>
      <c r="J175" s="846"/>
    </row>
    <row r="176" spans="9:10" x14ac:dyDescent="0.15">
      <c r="I176" s="846"/>
      <c r="J176" s="846"/>
    </row>
    <row r="177" spans="9:10" x14ac:dyDescent="0.15">
      <c r="I177" s="846"/>
      <c r="J177" s="846"/>
    </row>
    <row r="178" spans="9:10" x14ac:dyDescent="0.15">
      <c r="I178" s="846"/>
      <c r="J178" s="846"/>
    </row>
    <row r="179" spans="9:10" x14ac:dyDescent="0.15">
      <c r="I179" s="846"/>
      <c r="J179" s="846"/>
    </row>
    <row r="180" spans="9:10" x14ac:dyDescent="0.15">
      <c r="I180" s="846"/>
      <c r="J180" s="846"/>
    </row>
    <row r="181" spans="9:10" x14ac:dyDescent="0.15">
      <c r="I181" s="846"/>
      <c r="J181" s="846"/>
    </row>
    <row r="182" spans="9:10" x14ac:dyDescent="0.15">
      <c r="I182" s="846"/>
      <c r="J182" s="846"/>
    </row>
  </sheetData>
  <sheetProtection algorithmName="SHA-512" hashValue="vMw6FNbBwiSrMjVD1jiR7br3XCd67MROYXS7xK2N/wQG3lmYXLY5wUrG82yvNfCrnT5xRSiAXVPpY+dmaGGqyg==" saltValue="hZZK2SaDpRY81LZL4nc/Ig==" spinCount="100000" sheet="1" objects="1" scenarios="1"/>
  <mergeCells count="10">
    <mergeCell ref="I7:I8"/>
    <mergeCell ref="J7:J8"/>
    <mergeCell ref="L7:L8"/>
    <mergeCell ref="I11:J11"/>
    <mergeCell ref="C2:G2"/>
    <mergeCell ref="C3:G3"/>
    <mergeCell ref="C4:G4"/>
    <mergeCell ref="C7:C8"/>
    <mergeCell ref="E7:E8"/>
    <mergeCell ref="G7:G8"/>
  </mergeCells>
  <pageMargins left="0.75" right="0.75" top="1" bottom="1" header="0.4921259845" footer="0.4921259845"/>
  <pageSetup paperSize="11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E2552-D69E-F242-971B-B966F760F4A5}">
  <sheetPr>
    <tabColor theme="0" tint="-0.34998626667073579"/>
  </sheetPr>
  <dimension ref="C1:F32"/>
  <sheetViews>
    <sheetView zoomScale="150" zoomScaleNormal="150" workbookViewId="0"/>
  </sheetViews>
  <sheetFormatPr baseColWidth="10" defaultRowHeight="13" x14ac:dyDescent="0.15"/>
  <cols>
    <col min="1" max="1" width="3.33203125" customWidth="1"/>
    <col min="2" max="2" width="2" customWidth="1"/>
    <col min="3" max="3" width="80.1640625" customWidth="1"/>
  </cols>
  <sheetData>
    <row r="1" spans="3:6" ht="14" thickBot="1" x14ac:dyDescent="0.2"/>
    <row r="2" spans="3:6" ht="14" thickTop="1" x14ac:dyDescent="0.15">
      <c r="C2" s="719" t="str">
        <f>'État des Résultats'!C2</f>
        <v>Les Multiples Plaisirs gourmands</v>
      </c>
    </row>
    <row r="3" spans="3:6" x14ac:dyDescent="0.15">
      <c r="C3" s="1508" t="s">
        <v>596</v>
      </c>
    </row>
    <row r="4" spans="3:6" ht="14" thickBot="1" x14ac:dyDescent="0.2">
      <c r="C4" s="1509"/>
    </row>
    <row r="5" spans="3:6" ht="15" thickTop="1" thickBot="1" x14ac:dyDescent="0.2">
      <c r="C5" s="720"/>
    </row>
    <row r="6" spans="3:6" ht="14" thickTop="1" x14ac:dyDescent="0.15">
      <c r="C6" s="788" t="str">
        <f>'État des Résultats'!C6</f>
        <v>Nb de places</v>
      </c>
    </row>
    <row r="7" spans="3:6" x14ac:dyDescent="0.15">
      <c r="C7" s="787">
        <f>'État des Résultats'!C7</f>
        <v>30</v>
      </c>
    </row>
    <row r="8" spans="3:6" x14ac:dyDescent="0.15">
      <c r="C8" s="724" t="str">
        <f>'État des Résultats'!C8</f>
        <v>Revenus annuels par place</v>
      </c>
    </row>
    <row r="9" spans="3:6" ht="14" thickBot="1" x14ac:dyDescent="0.2">
      <c r="C9" s="789">
        <f>'État des Résultats'!AP14/Questions!C7</f>
        <v>35150.933972222221</v>
      </c>
    </row>
    <row r="10" spans="3:6" ht="15" thickTop="1" thickBot="1" x14ac:dyDescent="0.2"/>
    <row r="11" spans="3:6" ht="15" thickTop="1" thickBot="1" x14ac:dyDescent="0.2">
      <c r="C11" s="1510" t="s">
        <v>597</v>
      </c>
      <c r="D11" s="1511"/>
      <c r="E11" s="1511"/>
      <c r="F11" s="1512"/>
    </row>
    <row r="12" spans="3:6" ht="15" thickTop="1" thickBot="1" x14ac:dyDescent="0.2"/>
    <row r="13" spans="3:6" ht="15" thickTop="1" thickBot="1" x14ac:dyDescent="0.2">
      <c r="C13" s="127" t="s">
        <v>598</v>
      </c>
      <c r="D13" s="1513">
        <v>0.13389999999999999</v>
      </c>
      <c r="E13" s="1514"/>
      <c r="F13" s="1515"/>
    </row>
    <row r="14" spans="3:6" ht="14" thickTop="1" x14ac:dyDescent="0.15"/>
    <row r="15" spans="3:6" ht="14" thickBot="1" x14ac:dyDescent="0.2"/>
    <row r="16" spans="3:6" ht="15" thickTop="1" thickBot="1" x14ac:dyDescent="0.2">
      <c r="C16" s="1510" t="s">
        <v>599</v>
      </c>
      <c r="D16" s="1511"/>
      <c r="E16" s="1511"/>
      <c r="F16" s="1512"/>
    </row>
    <row r="17" spans="3:6" ht="15" thickTop="1" thickBot="1" x14ac:dyDescent="0.2"/>
    <row r="18" spans="3:6" ht="15" thickTop="1" thickBot="1" x14ac:dyDescent="0.2">
      <c r="C18" s="1133" t="s">
        <v>600</v>
      </c>
      <c r="D18" s="1516">
        <f>'État des Résultats'!AP45/'% Occupation'!P19</f>
        <v>1.3510272026465049</v>
      </c>
      <c r="E18" s="1517"/>
      <c r="F18" s="1518"/>
    </row>
    <row r="19" spans="3:6" ht="15" thickTop="1" thickBot="1" x14ac:dyDescent="0.2">
      <c r="C19" s="1134"/>
      <c r="D19" s="1134"/>
      <c r="E19" s="1134"/>
      <c r="F19" s="1134"/>
    </row>
    <row r="20" spans="3:6" ht="15" thickTop="1" thickBot="1" x14ac:dyDescent="0.2">
      <c r="C20" s="1133" t="s">
        <v>601</v>
      </c>
      <c r="D20" s="1516">
        <f>'État des Résultats'!AP45/'Calendrier 2021'!D7</f>
        <v>2341.7804845872752</v>
      </c>
      <c r="E20" s="1517"/>
      <c r="F20" s="1518"/>
    </row>
    <row r="21" spans="3:6" ht="15" thickTop="1" thickBot="1" x14ac:dyDescent="0.2">
      <c r="F21" s="790"/>
    </row>
    <row r="22" spans="3:6" ht="15" thickTop="1" thickBot="1" x14ac:dyDescent="0.2">
      <c r="C22" s="1133" t="s">
        <v>602</v>
      </c>
      <c r="D22" s="1516">
        <f>'État des Résultats'!AP45/900</f>
        <v>78.05934948624251</v>
      </c>
      <c r="E22" s="1517"/>
      <c r="F22" s="1518"/>
    </row>
    <row r="23" spans="3:6" ht="14" thickTop="1" x14ac:dyDescent="0.15">
      <c r="C23" s="127"/>
      <c r="F23" s="791"/>
    </row>
    <row r="24" spans="3:6" ht="14" thickBot="1" x14ac:dyDescent="0.2"/>
    <row r="25" spans="3:6" ht="15" thickTop="1" thickBot="1" x14ac:dyDescent="0.2">
      <c r="C25" s="1510" t="s">
        <v>604</v>
      </c>
      <c r="D25" s="1511"/>
      <c r="E25" s="1511"/>
      <c r="F25" s="1512"/>
    </row>
    <row r="26" spans="3:6" ht="15" thickTop="1" thickBot="1" x14ac:dyDescent="0.2"/>
    <row r="27" spans="3:6" ht="15" thickTop="1" thickBot="1" x14ac:dyDescent="0.2">
      <c r="C27" s="1133" t="s">
        <v>603</v>
      </c>
      <c r="D27" s="1505">
        <f>'Achalandage 2021'!P395/'Calendrier 2021'!D7/'% Occupation'!P9</f>
        <v>4.7488584474885842</v>
      </c>
      <c r="E27" s="1506"/>
      <c r="F27" s="1507"/>
    </row>
    <row r="28" spans="3:6" ht="14" thickTop="1" x14ac:dyDescent="0.15">
      <c r="C28" s="127"/>
    </row>
    <row r="29" spans="3:6" x14ac:dyDescent="0.15">
      <c r="C29" s="127"/>
    </row>
    <row r="31" spans="3:6" x14ac:dyDescent="0.15">
      <c r="C31" s="127"/>
    </row>
    <row r="32" spans="3:6" x14ac:dyDescent="0.15">
      <c r="C32" s="127"/>
      <c r="F32" s="792"/>
    </row>
  </sheetData>
  <sheetProtection algorithmName="SHA-512" hashValue="d4uEcmLTUf6jO5otOlLXLu/4WS//mPc2FDkhGJrpERhPZ8vf7L7nLsNU/ID51pMjDDTW+eePaXGKF2SStY9lfQ==" saltValue="vXqmY26UX1I9eYYWP16k1w==" spinCount="100000" sheet="1" objects="1" scenarios="1"/>
  <mergeCells count="9">
    <mergeCell ref="D27:F27"/>
    <mergeCell ref="C3:C4"/>
    <mergeCell ref="C11:F11"/>
    <mergeCell ref="C25:F25"/>
    <mergeCell ref="C16:F16"/>
    <mergeCell ref="D13:F13"/>
    <mergeCell ref="D18:F18"/>
    <mergeCell ref="D20:F20"/>
    <mergeCell ref="D22:F22"/>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1"/>
  </sheetPr>
  <dimension ref="B1:P24"/>
  <sheetViews>
    <sheetView zoomScale="150" zoomScaleNormal="150" zoomScalePageLayoutView="150" workbookViewId="0"/>
  </sheetViews>
  <sheetFormatPr baseColWidth="10" defaultRowHeight="13" x14ac:dyDescent="0.15"/>
  <cols>
    <col min="1" max="1" width="4.33203125" customWidth="1"/>
    <col min="2" max="2" width="19" bestFit="1" customWidth="1"/>
    <col min="4" max="4" width="10.83203125" customWidth="1"/>
    <col min="5" max="5" width="10.6640625" customWidth="1"/>
    <col min="6" max="6" width="9.1640625" customWidth="1"/>
    <col min="7" max="7" width="8.6640625" customWidth="1"/>
    <col min="8" max="8" width="8.1640625" customWidth="1"/>
    <col min="9" max="9" width="8.5" customWidth="1"/>
    <col min="10" max="10" width="9.6640625" customWidth="1"/>
    <col min="11" max="11" width="8.83203125" customWidth="1"/>
    <col min="12" max="12" width="13.6640625" bestFit="1" customWidth="1"/>
    <col min="13" max="13" width="11.33203125" bestFit="1" customWidth="1"/>
    <col min="14" max="15" width="13.1640625" bestFit="1" customWidth="1"/>
    <col min="16" max="16" width="18.5" customWidth="1"/>
  </cols>
  <sheetData>
    <row r="1" spans="2:16" ht="14" thickBot="1" x14ac:dyDescent="0.2"/>
    <row r="2" spans="2:16" ht="19" thickTop="1" x14ac:dyDescent="0.2">
      <c r="B2" s="1285" t="str">
        <f>+'Calendrier 2021'!B2:O2</f>
        <v>Les Multiples Plaisirs gourmands</v>
      </c>
      <c r="C2" s="1286"/>
      <c r="D2" s="1286"/>
      <c r="E2" s="1286"/>
      <c r="F2" s="1286"/>
      <c r="G2" s="1286"/>
      <c r="H2" s="1286"/>
      <c r="I2" s="1286"/>
      <c r="J2" s="1286"/>
      <c r="K2" s="1286"/>
      <c r="L2" s="1286"/>
      <c r="M2" s="1286"/>
      <c r="N2" s="1286"/>
      <c r="O2" s="1286"/>
      <c r="P2" s="1287"/>
    </row>
    <row r="3" spans="2:16" ht="16" x14ac:dyDescent="0.2">
      <c r="B3" s="1288" t="str">
        <f>+'Calendrier 2021'!B3:O3</f>
        <v xml:space="preserve">États des résultats </v>
      </c>
      <c r="C3" s="1289"/>
      <c r="D3" s="1289"/>
      <c r="E3" s="1289"/>
      <c r="F3" s="1289"/>
      <c r="G3" s="1289"/>
      <c r="H3" s="1289"/>
      <c r="I3" s="1289"/>
      <c r="J3" s="1289"/>
      <c r="K3" s="1289"/>
      <c r="L3" s="1289"/>
      <c r="M3" s="1289"/>
      <c r="N3" s="1289"/>
      <c r="O3" s="1289"/>
      <c r="P3" s="1290"/>
    </row>
    <row r="4" spans="2:16" ht="14" thickBot="1" x14ac:dyDescent="0.2">
      <c r="B4" s="1291" t="str">
        <f>+'Calendrier 2021'!B4:O4</f>
        <v>Pour la période du 1er janvier 2021 au 31 décembre 2021</v>
      </c>
      <c r="C4" s="1292"/>
      <c r="D4" s="1292"/>
      <c r="E4" s="1292"/>
      <c r="F4" s="1292"/>
      <c r="G4" s="1292"/>
      <c r="H4" s="1292"/>
      <c r="I4" s="1292"/>
      <c r="J4" s="1292"/>
      <c r="K4" s="1292"/>
      <c r="L4" s="1292"/>
      <c r="M4" s="1292"/>
      <c r="N4" s="1292"/>
      <c r="O4" s="1292"/>
      <c r="P4" s="1293"/>
    </row>
    <row r="5" spans="2:16" ht="14" thickTop="1" x14ac:dyDescent="0.15">
      <c r="B5" s="89"/>
      <c r="C5" s="90"/>
      <c r="D5" s="91" t="str">
        <f>+'Achalandage 2021'!D5</f>
        <v>Pér.01</v>
      </c>
      <c r="E5" s="91" t="str">
        <f>+'Achalandage 2021'!E5</f>
        <v>Pér.02</v>
      </c>
      <c r="F5" s="91" t="str">
        <f>+'Achalandage 2021'!F5</f>
        <v>Pér.03</v>
      </c>
      <c r="G5" s="91" t="str">
        <f>+'Achalandage 2021'!G5</f>
        <v>Pér.04</v>
      </c>
      <c r="H5" s="91" t="str">
        <f>+'Achalandage 2021'!H5</f>
        <v>Pér.05</v>
      </c>
      <c r="I5" s="91" t="str">
        <f>+'Achalandage 2021'!I5</f>
        <v>Pér.06</v>
      </c>
      <c r="J5" s="91" t="str">
        <f>+'Achalandage 2021'!J5</f>
        <v>Pér.07</v>
      </c>
      <c r="K5" s="91" t="str">
        <f>+'Achalandage 2021'!K5</f>
        <v>Pér.08</v>
      </c>
      <c r="L5" s="91" t="str">
        <f>+'Achalandage 2021'!L5</f>
        <v>Pér.09</v>
      </c>
      <c r="M5" s="91" t="str">
        <f>+'Achalandage 2021'!M5</f>
        <v>Pér.10</v>
      </c>
      <c r="N5" s="91" t="str">
        <f>+'Achalandage 2021'!N5</f>
        <v>Pér.11</v>
      </c>
      <c r="O5" s="91" t="str">
        <f>+'Achalandage 2021'!O5</f>
        <v>Pér.12</v>
      </c>
      <c r="P5" s="92" t="s">
        <v>30</v>
      </c>
    </row>
    <row r="6" spans="2:16" ht="14" thickBot="1" x14ac:dyDescent="0.2">
      <c r="B6" s="93"/>
      <c r="C6" s="94"/>
      <c r="D6" s="95" t="str">
        <f>+'Achalandage 2021'!D6</f>
        <v>Janvier 2021</v>
      </c>
      <c r="E6" s="95" t="str">
        <f>+'Achalandage 2021'!E6</f>
        <v>Février 2021</v>
      </c>
      <c r="F6" s="95" t="str">
        <f>+'Achalandage 2021'!F6</f>
        <v>Mars 2021</v>
      </c>
      <c r="G6" s="95" t="str">
        <f>+'Achalandage 2021'!G6</f>
        <v>Avril 2021</v>
      </c>
      <c r="H6" s="95" t="str">
        <f>+'Achalandage 2021'!H6</f>
        <v>Mai 2021</v>
      </c>
      <c r="I6" s="95" t="str">
        <f>+'Achalandage 2021'!I6</f>
        <v>Juin 2021</v>
      </c>
      <c r="J6" s="95" t="str">
        <f>+'Achalandage 2021'!J6</f>
        <v>Juillet 2021</v>
      </c>
      <c r="K6" s="95" t="str">
        <f>+'Achalandage 2021'!K6</f>
        <v>Août 2021</v>
      </c>
      <c r="L6" s="95" t="str">
        <f>+'Achalandage 2021'!L6</f>
        <v>Septembre 2021</v>
      </c>
      <c r="M6" s="95" t="str">
        <f>+'Achalandage 2021'!M6</f>
        <v>Octobre 2021</v>
      </c>
      <c r="N6" s="95" t="str">
        <f>+'Achalandage 2021'!N6</f>
        <v>Novembre 2021</v>
      </c>
      <c r="O6" s="95" t="str">
        <f>+'Achalandage 2021'!O6</f>
        <v>Décembre 2021</v>
      </c>
      <c r="P6" s="96" t="s">
        <v>10</v>
      </c>
    </row>
    <row r="7" spans="2:16" ht="15" thickTop="1" thickBot="1" x14ac:dyDescent="0.2">
      <c r="B7" s="1298" t="str">
        <f>+'Achalandage 2021'!B7:C7</f>
        <v>NB de place</v>
      </c>
      <c r="C7" s="1299"/>
      <c r="D7" s="117">
        <f>+'Calendrier 2021'!D7</f>
        <v>30</v>
      </c>
      <c r="E7" s="118">
        <f t="shared" ref="E7:O7" si="0">+D7</f>
        <v>30</v>
      </c>
      <c r="F7" s="119">
        <f t="shared" si="0"/>
        <v>30</v>
      </c>
      <c r="G7" s="119">
        <f t="shared" si="0"/>
        <v>30</v>
      </c>
      <c r="H7" s="119">
        <f t="shared" si="0"/>
        <v>30</v>
      </c>
      <c r="I7" s="119">
        <f t="shared" si="0"/>
        <v>30</v>
      </c>
      <c r="J7" s="119">
        <f t="shared" si="0"/>
        <v>30</v>
      </c>
      <c r="K7" s="119">
        <f t="shared" si="0"/>
        <v>30</v>
      </c>
      <c r="L7" s="119">
        <f t="shared" si="0"/>
        <v>30</v>
      </c>
      <c r="M7" s="119">
        <f t="shared" si="0"/>
        <v>30</v>
      </c>
      <c r="N7" s="119">
        <f t="shared" si="0"/>
        <v>30</v>
      </c>
      <c r="O7" s="120">
        <f t="shared" si="0"/>
        <v>30</v>
      </c>
      <c r="P7" s="120">
        <f t="shared" ref="P7" si="1">+O7</f>
        <v>30</v>
      </c>
    </row>
    <row r="8" spans="2:16" ht="15" thickTop="1" thickBot="1" x14ac:dyDescent="0.2">
      <c r="B8" s="1300" t="s">
        <v>28</v>
      </c>
      <c r="C8" s="1301"/>
      <c r="D8" s="97">
        <f>+'Achalandage 2021'!D8</f>
        <v>31</v>
      </c>
      <c r="E8" s="97">
        <f>+'Achalandage 2021'!E8</f>
        <v>28</v>
      </c>
      <c r="F8" s="97">
        <f>+'Achalandage 2021'!F8</f>
        <v>31</v>
      </c>
      <c r="G8" s="97">
        <f>+'Achalandage 2021'!G8</f>
        <v>30</v>
      </c>
      <c r="H8" s="97">
        <f>+'Achalandage 2021'!H8</f>
        <v>31</v>
      </c>
      <c r="I8" s="97">
        <f>+'Achalandage 2021'!I8</f>
        <v>30</v>
      </c>
      <c r="J8" s="97">
        <f>+'Achalandage 2021'!J8</f>
        <v>31</v>
      </c>
      <c r="K8" s="97">
        <f>+'Achalandage 2021'!K8</f>
        <v>31</v>
      </c>
      <c r="L8" s="97">
        <f>+'Achalandage 2021'!L8</f>
        <v>30</v>
      </c>
      <c r="M8" s="97">
        <f>+'Achalandage 2021'!M8</f>
        <v>31</v>
      </c>
      <c r="N8" s="97">
        <f>+'Achalandage 2021'!N8</f>
        <v>30</v>
      </c>
      <c r="O8" s="97">
        <f>+'Achalandage 2021'!O8</f>
        <v>31</v>
      </c>
      <c r="P8" s="98">
        <f>+D8+E8+F8+G8+H8+I8+J8+K8+L8+M8+N8+O8</f>
        <v>365</v>
      </c>
    </row>
    <row r="9" spans="2:16" ht="15" thickTop="1" thickBot="1" x14ac:dyDescent="0.2">
      <c r="B9" s="1302" t="s">
        <v>29</v>
      </c>
      <c r="C9" s="1303"/>
      <c r="D9" s="285">
        <f t="shared" ref="D9:O9" si="2">+D8</f>
        <v>31</v>
      </c>
      <c r="E9" s="285">
        <f t="shared" si="2"/>
        <v>28</v>
      </c>
      <c r="F9" s="285">
        <f t="shared" si="2"/>
        <v>31</v>
      </c>
      <c r="G9" s="285">
        <f t="shared" si="2"/>
        <v>30</v>
      </c>
      <c r="H9" s="285">
        <f t="shared" si="2"/>
        <v>31</v>
      </c>
      <c r="I9" s="285">
        <f t="shared" si="2"/>
        <v>30</v>
      </c>
      <c r="J9" s="285">
        <f t="shared" si="2"/>
        <v>31</v>
      </c>
      <c r="K9" s="285">
        <f t="shared" si="2"/>
        <v>31</v>
      </c>
      <c r="L9" s="285">
        <f t="shared" si="2"/>
        <v>30</v>
      </c>
      <c r="M9" s="285">
        <f t="shared" si="2"/>
        <v>31</v>
      </c>
      <c r="N9" s="285">
        <f t="shared" si="2"/>
        <v>30</v>
      </c>
      <c r="O9" s="285">
        <f t="shared" si="2"/>
        <v>31</v>
      </c>
      <c r="P9" s="116">
        <f>+D9+E9+F9+G9+H9+I9+J9+K9+L9+M9+N9+O9</f>
        <v>365</v>
      </c>
    </row>
    <row r="10" spans="2:16" ht="15" thickTop="1" thickBot="1" x14ac:dyDescent="0.2">
      <c r="B10" s="106" t="s">
        <v>52</v>
      </c>
      <c r="C10" s="107" t="s">
        <v>2</v>
      </c>
      <c r="D10" s="108">
        <f t="shared" ref="D10:O10" si="3">+D19/$P$19</f>
        <v>7.3230769230769224E-2</v>
      </c>
      <c r="E10" s="108">
        <f t="shared" si="3"/>
        <v>7.0980769230769236E-2</v>
      </c>
      <c r="F10" s="108">
        <f t="shared" si="3"/>
        <v>7.9096153846153844E-2</v>
      </c>
      <c r="G10" s="108">
        <f t="shared" si="3"/>
        <v>8.0019230769230773E-2</v>
      </c>
      <c r="H10" s="108">
        <f t="shared" si="3"/>
        <v>8.615384615384615E-2</v>
      </c>
      <c r="I10" s="108">
        <f t="shared" si="3"/>
        <v>8.8538461538461538E-2</v>
      </c>
      <c r="J10" s="108">
        <f t="shared" si="3"/>
        <v>9.1788461538461541E-2</v>
      </c>
      <c r="K10" s="108">
        <f t="shared" si="3"/>
        <v>9.2999999999999999E-2</v>
      </c>
      <c r="L10" s="108">
        <f t="shared" si="3"/>
        <v>8.5038461538461535E-2</v>
      </c>
      <c r="M10" s="108">
        <f t="shared" si="3"/>
        <v>8.5115384615384621E-2</v>
      </c>
      <c r="N10" s="108">
        <f t="shared" si="3"/>
        <v>7.9115384615384615E-2</v>
      </c>
      <c r="O10" s="108">
        <f t="shared" si="3"/>
        <v>8.7923076923076923E-2</v>
      </c>
      <c r="P10" s="109">
        <f>+D10+E10+F10+G10+H10+I10+J10+K10+L10+M10+N10+O10</f>
        <v>0.99999999999999978</v>
      </c>
    </row>
    <row r="11" spans="2:16" ht="13" customHeight="1" thickTop="1" x14ac:dyDescent="0.15">
      <c r="B11" s="99">
        <v>1</v>
      </c>
      <c r="C11" s="100" t="s">
        <v>3</v>
      </c>
      <c r="D11" s="69">
        <f>+'Achalandage 2021'!D11+'Achalandage 2021'!D20+'Achalandage 2021'!D29+'Achalandage 2021'!D38+'Achalandage 2021'!D47+'Achalandage 2021'!D56+'Achalandage 2021'!D65+'Achalandage 2021'!D75+'Achalandage 2021'!D84+'Achalandage 2021'!D93+'Achalandage 2021'!D102+'Achalandage 2021'!D111+'Achalandage 2021'!D120+'Achalandage 2021'!D129+'Achalandage 2021'!D139+'Achalandage 2021'!D148+'Achalandage 2021'!D157+'Achalandage 2021'!D166+'Achalandage 2021'!D175+'Achalandage 2021'!D184+'Achalandage 2021'!D193+'Achalandage 2021'!D203+'Achalandage 2021'!D212+'Achalandage 2021'!D221+'Achalandage 2021'!D230+'Achalandage 2021'!D239+'Achalandage 2021'!D248+'Achalandage 2021'!D257+'Achalandage 2021'!D267+'Achalandage 2021'!D276+'Achalandage 2021'!D285+'Achalandage 2021'!D294+'Achalandage 2021'!D303+'Achalandage 2021'!D312+'Achalandage 2021'!D321+'Achalandage 2021'!D331+'Achalandage 2021'!D340+'Achalandage 2021'!D349+'Achalandage 2021'!D358+'Achalandage 2021'!D367+'Achalandage 2021'!D376+'Achalandage 2021'!D385</f>
        <v>620</v>
      </c>
      <c r="E11" s="69">
        <f>+'Achalandage 2021'!E11+'Achalandage 2021'!E20+'Achalandage 2021'!E29+'Achalandage 2021'!E38+'Achalandage 2021'!E47+'Achalandage 2021'!E56+'Achalandage 2021'!E65+'Achalandage 2021'!E75+'Achalandage 2021'!E84+'Achalandage 2021'!E93+'Achalandage 2021'!E102+'Achalandage 2021'!E111+'Achalandage 2021'!E120+'Achalandage 2021'!E129+'Achalandage 2021'!E139+'Achalandage 2021'!E148+'Achalandage 2021'!E157+'Achalandage 2021'!E166+'Achalandage 2021'!E175+'Achalandage 2021'!E184+'Achalandage 2021'!E193+'Achalandage 2021'!E203+'Achalandage 2021'!E212+'Achalandage 2021'!E221+'Achalandage 2021'!E230+'Achalandage 2021'!E239+'Achalandage 2021'!E248+'Achalandage 2021'!E257+'Achalandage 2021'!E267+'Achalandage 2021'!E276+'Achalandage 2021'!E285+'Achalandage 2021'!E294+'Achalandage 2021'!E303+'Achalandage 2021'!E312+'Achalandage 2021'!E321+'Achalandage 2021'!E331+'Achalandage 2021'!E340+'Achalandage 2021'!E349+'Achalandage 2021'!E358+'Achalandage 2021'!E367+'Achalandage 2021'!E376+'Achalandage 2021'!E385</f>
        <v>560</v>
      </c>
      <c r="F11" s="69">
        <f>+'Achalandage 2021'!F11+'Achalandage 2021'!F20+'Achalandage 2021'!F29+'Achalandage 2021'!F38+'Achalandage 2021'!F47+'Achalandage 2021'!F56+'Achalandage 2021'!F65+'Achalandage 2021'!F75+'Achalandage 2021'!F84+'Achalandage 2021'!F93+'Achalandage 2021'!F102+'Achalandage 2021'!F111+'Achalandage 2021'!F120+'Achalandage 2021'!F129+'Achalandage 2021'!F139+'Achalandage 2021'!F148+'Achalandage 2021'!F157+'Achalandage 2021'!F166+'Achalandage 2021'!F175+'Achalandage 2021'!F184+'Achalandage 2021'!F193+'Achalandage 2021'!F203+'Achalandage 2021'!F212+'Achalandage 2021'!F221+'Achalandage 2021'!F230+'Achalandage 2021'!F239+'Achalandage 2021'!F248+'Achalandage 2021'!F257+'Achalandage 2021'!F267+'Achalandage 2021'!F276+'Achalandage 2021'!F285+'Achalandage 2021'!F294+'Achalandage 2021'!F303+'Achalandage 2021'!F312+'Achalandage 2021'!F321+'Achalandage 2021'!F331+'Achalandage 2021'!F340+'Achalandage 2021'!F349+'Achalandage 2021'!F358+'Achalandage 2021'!F367+'Achalandage 2021'!F376+'Achalandage 2021'!F385</f>
        <v>620</v>
      </c>
      <c r="G11" s="69">
        <f>+'Achalandage 2021'!G11+'Achalandage 2021'!G20+'Achalandage 2021'!G29+'Achalandage 2021'!G38+'Achalandage 2021'!G47+'Achalandage 2021'!G56+'Achalandage 2021'!G65+'Achalandage 2021'!G75+'Achalandage 2021'!G84+'Achalandage 2021'!G93+'Achalandage 2021'!G102+'Achalandage 2021'!G111+'Achalandage 2021'!G120+'Achalandage 2021'!G129+'Achalandage 2021'!G139+'Achalandage 2021'!G148+'Achalandage 2021'!G157+'Achalandage 2021'!G166+'Achalandage 2021'!G175+'Achalandage 2021'!G184+'Achalandage 2021'!G193+'Achalandage 2021'!G203+'Achalandage 2021'!G212+'Achalandage 2021'!G221+'Achalandage 2021'!G230+'Achalandage 2021'!G239+'Achalandage 2021'!G248+'Achalandage 2021'!G257+'Achalandage 2021'!G267+'Achalandage 2021'!G276+'Achalandage 2021'!G285+'Achalandage 2021'!G294+'Achalandage 2021'!G303+'Achalandage 2021'!G312+'Achalandage 2021'!G321+'Achalandage 2021'!G331+'Achalandage 2021'!G340+'Achalandage 2021'!G349+'Achalandage 2021'!G358+'Achalandage 2021'!G367+'Achalandage 2021'!G376+'Achalandage 2021'!G385</f>
        <v>560</v>
      </c>
      <c r="H11" s="69">
        <f>+'Achalandage 2021'!H11+'Achalandage 2021'!H20+'Achalandage 2021'!H29+'Achalandage 2021'!H38+'Achalandage 2021'!H47+'Achalandage 2021'!H56+'Achalandage 2021'!H65+'Achalandage 2021'!H75+'Achalandage 2021'!H84+'Achalandage 2021'!H93+'Achalandage 2021'!H102+'Achalandage 2021'!H111+'Achalandage 2021'!H120+'Achalandage 2021'!H129+'Achalandage 2021'!H139+'Achalandage 2021'!H148+'Achalandage 2021'!H157+'Achalandage 2021'!H166+'Achalandage 2021'!H175+'Achalandage 2021'!H184+'Achalandage 2021'!H193+'Achalandage 2021'!H203+'Achalandage 2021'!H212+'Achalandage 2021'!H221+'Achalandage 2021'!H230+'Achalandage 2021'!H239+'Achalandage 2021'!H248+'Achalandage 2021'!H257+'Achalandage 2021'!H267+'Achalandage 2021'!H276+'Achalandage 2021'!H285+'Achalandage 2021'!H294+'Achalandage 2021'!H303+'Achalandage 2021'!H312+'Achalandage 2021'!H321+'Achalandage 2021'!H331+'Achalandage 2021'!H340+'Achalandage 2021'!H349+'Achalandage 2021'!H358+'Achalandage 2021'!H367+'Achalandage 2021'!H376+'Achalandage 2021'!H385</f>
        <v>620</v>
      </c>
      <c r="I11" s="69">
        <f>+'Achalandage 2021'!I11+'Achalandage 2021'!I20+'Achalandage 2021'!I29+'Achalandage 2021'!I38+'Achalandage 2021'!I47+'Achalandage 2021'!I56+'Achalandage 2021'!I65+'Achalandage 2021'!I75+'Achalandage 2021'!I84+'Achalandage 2021'!I93+'Achalandage 2021'!I102+'Achalandage 2021'!I111+'Achalandage 2021'!I120+'Achalandage 2021'!I129+'Achalandage 2021'!I139+'Achalandage 2021'!I148+'Achalandage 2021'!I157+'Achalandage 2021'!I166+'Achalandage 2021'!I175+'Achalandage 2021'!I184+'Achalandage 2021'!I193+'Achalandage 2021'!I203+'Achalandage 2021'!I212+'Achalandage 2021'!I221+'Achalandage 2021'!I230+'Achalandage 2021'!I239+'Achalandage 2021'!I248+'Achalandage 2021'!I257+'Achalandage 2021'!I267+'Achalandage 2021'!I276+'Achalandage 2021'!I285+'Achalandage 2021'!I294+'Achalandage 2021'!I303+'Achalandage 2021'!I312+'Achalandage 2021'!I321+'Achalandage 2021'!I331+'Achalandage 2021'!I340+'Achalandage 2021'!I349+'Achalandage 2021'!I358+'Achalandage 2021'!I367+'Achalandage 2021'!I376+'Achalandage 2021'!I385</f>
        <v>600</v>
      </c>
      <c r="J11" s="69">
        <f>+'Achalandage 2021'!J11+'Achalandage 2021'!J20+'Achalandage 2021'!J29+'Achalandage 2021'!J38+'Achalandage 2021'!J47+'Achalandage 2021'!J56+'Achalandage 2021'!J65+'Achalandage 2021'!J75+'Achalandage 2021'!J84+'Achalandage 2021'!J93+'Achalandage 2021'!J102+'Achalandage 2021'!J111+'Achalandage 2021'!J120+'Achalandage 2021'!J129+'Achalandage 2021'!J139+'Achalandage 2021'!J148+'Achalandage 2021'!J157+'Achalandage 2021'!J166+'Achalandage 2021'!J175+'Achalandage 2021'!J184+'Achalandage 2021'!J193+'Achalandage 2021'!J203+'Achalandage 2021'!J212+'Achalandage 2021'!J221+'Achalandage 2021'!J230+'Achalandage 2021'!J239+'Achalandage 2021'!J248+'Achalandage 2021'!J257+'Achalandage 2021'!J267+'Achalandage 2021'!J276+'Achalandage 2021'!J285+'Achalandage 2021'!J294+'Achalandage 2021'!J303+'Achalandage 2021'!J312+'Achalandage 2021'!J321+'Achalandage 2021'!J331+'Achalandage 2021'!J340+'Achalandage 2021'!J349+'Achalandage 2021'!J358+'Achalandage 2021'!J367+'Achalandage 2021'!J376+'Achalandage 2021'!J385</f>
        <v>620</v>
      </c>
      <c r="K11" s="69">
        <f>+'Achalandage 2021'!K11+'Achalandage 2021'!K20+'Achalandage 2021'!K29+'Achalandage 2021'!K38+'Achalandage 2021'!K47+'Achalandage 2021'!K56+'Achalandage 2021'!K65+'Achalandage 2021'!K75+'Achalandage 2021'!K84+'Achalandage 2021'!K93+'Achalandage 2021'!K102+'Achalandage 2021'!K111+'Achalandage 2021'!K120+'Achalandage 2021'!K129+'Achalandage 2021'!K139+'Achalandage 2021'!K148+'Achalandage 2021'!K157+'Achalandage 2021'!K166+'Achalandage 2021'!K175+'Achalandage 2021'!K184+'Achalandage 2021'!K193+'Achalandage 2021'!K203+'Achalandage 2021'!K212+'Achalandage 2021'!K221+'Achalandage 2021'!K230+'Achalandage 2021'!K239+'Achalandage 2021'!K248+'Achalandage 2021'!K257+'Achalandage 2021'!K267+'Achalandage 2021'!K276+'Achalandage 2021'!K285+'Achalandage 2021'!K294+'Achalandage 2021'!K303+'Achalandage 2021'!K312+'Achalandage 2021'!K321+'Achalandage 2021'!K331+'Achalandage 2021'!K340+'Achalandage 2021'!K349+'Achalandage 2021'!K358+'Achalandage 2021'!K367+'Achalandage 2021'!K376+'Achalandage 2021'!K385</f>
        <v>620</v>
      </c>
      <c r="L11" s="69">
        <f>+'Achalandage 2021'!L11+'Achalandage 2021'!L20+'Achalandage 2021'!L29+'Achalandage 2021'!L38+'Achalandage 2021'!L47+'Achalandage 2021'!L56+'Achalandage 2021'!L65+'Achalandage 2021'!L75+'Achalandage 2021'!L84+'Achalandage 2021'!L93+'Achalandage 2021'!L102+'Achalandage 2021'!L111+'Achalandage 2021'!L120+'Achalandage 2021'!L129+'Achalandage 2021'!L139+'Achalandage 2021'!L148+'Achalandage 2021'!L157+'Achalandage 2021'!L166+'Achalandage 2021'!L175+'Achalandage 2021'!L184+'Achalandage 2021'!L193+'Achalandage 2021'!L203+'Achalandage 2021'!L212+'Achalandage 2021'!L221+'Achalandage 2021'!L230+'Achalandage 2021'!L239+'Achalandage 2021'!L248+'Achalandage 2021'!L257+'Achalandage 2021'!L267+'Achalandage 2021'!L276+'Achalandage 2021'!L285+'Achalandage 2021'!L294+'Achalandage 2021'!L303+'Achalandage 2021'!L312+'Achalandage 2021'!L321+'Achalandage 2021'!L331+'Achalandage 2021'!L340+'Achalandage 2021'!L349+'Achalandage 2021'!L358+'Achalandage 2021'!L367+'Achalandage 2021'!L376+'Achalandage 2021'!L385</f>
        <v>580</v>
      </c>
      <c r="M11" s="69">
        <f>+'Achalandage 2021'!M11+'Achalandage 2021'!M20+'Achalandage 2021'!M29+'Achalandage 2021'!M38+'Achalandage 2021'!M47+'Achalandage 2021'!M56+'Achalandage 2021'!M65+'Achalandage 2021'!M75+'Achalandage 2021'!M84+'Achalandage 2021'!M93+'Achalandage 2021'!M102+'Achalandage 2021'!M111+'Achalandage 2021'!M120+'Achalandage 2021'!M129+'Achalandage 2021'!M139+'Achalandage 2021'!M148+'Achalandage 2021'!M157+'Achalandage 2021'!M166+'Achalandage 2021'!M175+'Achalandage 2021'!M184+'Achalandage 2021'!M193+'Achalandage 2021'!M203+'Achalandage 2021'!M212+'Achalandage 2021'!M221+'Achalandage 2021'!M230+'Achalandage 2021'!M239+'Achalandage 2021'!M248+'Achalandage 2021'!M257+'Achalandage 2021'!M267+'Achalandage 2021'!M276+'Achalandage 2021'!M285+'Achalandage 2021'!M294+'Achalandage 2021'!M303+'Achalandage 2021'!M312+'Achalandage 2021'!M321+'Achalandage 2021'!M331+'Achalandage 2021'!M340+'Achalandage 2021'!M349+'Achalandage 2021'!M358+'Achalandage 2021'!M367+'Achalandage 2021'!M376+'Achalandage 2021'!M385</f>
        <v>620</v>
      </c>
      <c r="N11" s="69">
        <f>+'Achalandage 2021'!N11+'Achalandage 2021'!N20+'Achalandage 2021'!N29+'Achalandage 2021'!N38+'Achalandage 2021'!N47+'Achalandage 2021'!N56+'Achalandage 2021'!N65+'Achalandage 2021'!N75+'Achalandage 2021'!N84+'Achalandage 2021'!N93+'Achalandage 2021'!N102+'Achalandage 2021'!N111+'Achalandage 2021'!N120+'Achalandage 2021'!N129+'Achalandage 2021'!N139+'Achalandage 2021'!N148+'Achalandage 2021'!N157+'Achalandage 2021'!N166+'Achalandage 2021'!N175+'Achalandage 2021'!N184+'Achalandage 2021'!N193+'Achalandage 2021'!N203+'Achalandage 2021'!N212+'Achalandage 2021'!N221+'Achalandage 2021'!N230+'Achalandage 2021'!N239+'Achalandage 2021'!N248+'Achalandage 2021'!N257+'Achalandage 2021'!N267+'Achalandage 2021'!N276+'Achalandage 2021'!N285+'Achalandage 2021'!N294+'Achalandage 2021'!N303+'Achalandage 2021'!N312+'Achalandage 2021'!N321+'Achalandage 2021'!N331+'Achalandage 2021'!N340+'Achalandage 2021'!N349+'Achalandage 2021'!N358+'Achalandage 2021'!N367+'Achalandage 2021'!N376+'Achalandage 2021'!N385</f>
        <v>600</v>
      </c>
      <c r="O11" s="69">
        <f>+'Achalandage 2021'!O11+'Achalandage 2021'!O20+'Achalandage 2021'!O29+'Achalandage 2021'!O38+'Achalandage 2021'!O47+'Achalandage 2021'!O56+'Achalandage 2021'!O65+'Achalandage 2021'!O75+'Achalandage 2021'!O84+'Achalandage 2021'!O93+'Achalandage 2021'!O102+'Achalandage 2021'!O111+'Achalandage 2021'!O120+'Achalandage 2021'!O129+'Achalandage 2021'!O139+'Achalandage 2021'!O148+'Achalandage 2021'!O157+'Achalandage 2021'!O166+'Achalandage 2021'!O175+'Achalandage 2021'!O184+'Achalandage 2021'!O193+'Achalandage 2021'!O203+'Achalandage 2021'!O212+'Achalandage 2021'!O221+'Achalandage 2021'!O230+'Achalandage 2021'!O239+'Achalandage 2021'!O248+'Achalandage 2021'!O257+'Achalandage 2021'!O267+'Achalandage 2021'!O276+'Achalandage 2021'!O285+'Achalandage 2021'!O294+'Achalandage 2021'!O303+'Achalandage 2021'!O312+'Achalandage 2021'!O321+'Achalandage 2021'!O331+'Achalandage 2021'!O340+'Achalandage 2021'!O349+'Achalandage 2021'!O358+'Achalandage 2021'!O367+'Achalandage 2021'!O376+'Achalandage 2021'!O385</f>
        <v>620</v>
      </c>
      <c r="P11" s="66">
        <f>+D11+E11+F11+G11+H11+I11+J11+K11+L11+M11+N11+O11</f>
        <v>7240</v>
      </c>
    </row>
    <row r="12" spans="2:16" x14ac:dyDescent="0.15">
      <c r="B12" s="101">
        <v>2</v>
      </c>
      <c r="C12" s="102" t="s">
        <v>4</v>
      </c>
      <c r="D12" s="70">
        <f>+'Achalandage 2021'!D12+'Achalandage 2021'!D21+'Achalandage 2021'!D30+'Achalandage 2021'!D39+'Achalandage 2021'!D48+'Achalandage 2021'!D57+'Achalandage 2021'!D66+'Achalandage 2021'!D76+'Achalandage 2021'!D85+'Achalandage 2021'!D94+'Achalandage 2021'!D103+'Achalandage 2021'!D112+'Achalandage 2021'!D121+'Achalandage 2021'!D130+'Achalandage 2021'!D140+'Achalandage 2021'!D149+'Achalandage 2021'!D158+'Achalandage 2021'!D167+'Achalandage 2021'!D176+'Achalandage 2021'!D185+'Achalandage 2021'!D194+'Achalandage 2021'!D204+'Achalandage 2021'!D213+'Achalandage 2021'!D222+'Achalandage 2021'!D231+'Achalandage 2021'!D240+'Achalandage 2021'!D249+'Achalandage 2021'!D258+'Achalandage 2021'!D268+'Achalandage 2021'!D277+'Achalandage 2021'!D286+'Achalandage 2021'!D295+'Achalandage 2021'!D304+'Achalandage 2021'!D313+'Achalandage 2021'!D322+'Achalandage 2021'!D332+'Achalandage 2021'!D341+'Achalandage 2021'!D350+'Achalandage 2021'!D359+'Achalandage 2021'!D368+'Achalandage 2021'!D377+'Achalandage 2021'!D386</f>
        <v>793</v>
      </c>
      <c r="E12" s="70">
        <f>+'Achalandage 2021'!E12+'Achalandage 2021'!E21+'Achalandage 2021'!E30+'Achalandage 2021'!E39+'Achalandage 2021'!E48+'Achalandage 2021'!E57+'Achalandage 2021'!E66+'Achalandage 2021'!E76+'Achalandage 2021'!E85+'Achalandage 2021'!E94+'Achalandage 2021'!E103+'Achalandage 2021'!E112+'Achalandage 2021'!E121+'Achalandage 2021'!E130+'Achalandage 2021'!E140+'Achalandage 2021'!E149+'Achalandage 2021'!E158+'Achalandage 2021'!E167+'Achalandage 2021'!E176+'Achalandage 2021'!E185+'Achalandage 2021'!E194+'Achalandage 2021'!E204+'Achalandage 2021'!E213+'Achalandage 2021'!E222+'Achalandage 2021'!E231+'Achalandage 2021'!E240+'Achalandage 2021'!E249+'Achalandage 2021'!E258+'Achalandage 2021'!E268+'Achalandage 2021'!E277+'Achalandage 2021'!E286+'Achalandage 2021'!E295+'Achalandage 2021'!E304+'Achalandage 2021'!E313+'Achalandage 2021'!E322+'Achalandage 2021'!E332+'Achalandage 2021'!E341+'Achalandage 2021'!E350+'Achalandage 2021'!E359+'Achalandage 2021'!E368+'Achalandage 2021'!E377+'Achalandage 2021'!E386</f>
        <v>263</v>
      </c>
      <c r="F12" s="70">
        <f>+'Achalandage 2021'!F12+'Achalandage 2021'!F21+'Achalandage 2021'!F30+'Achalandage 2021'!F39+'Achalandage 2021'!F48+'Achalandage 2021'!F57+'Achalandage 2021'!F66+'Achalandage 2021'!F76+'Achalandage 2021'!F85+'Achalandage 2021'!F94+'Achalandage 2021'!F103+'Achalandage 2021'!F112+'Achalandage 2021'!F121+'Achalandage 2021'!F130+'Achalandage 2021'!F140+'Achalandage 2021'!F149+'Achalandage 2021'!F158+'Achalandage 2021'!F167+'Achalandage 2021'!F176+'Achalandage 2021'!F185+'Achalandage 2021'!F194+'Achalandage 2021'!F204+'Achalandage 2021'!F213+'Achalandage 2021'!F222+'Achalandage 2021'!F231+'Achalandage 2021'!F240+'Achalandage 2021'!F249+'Achalandage 2021'!F258+'Achalandage 2021'!F268+'Achalandage 2021'!F277+'Achalandage 2021'!F286+'Achalandage 2021'!F295+'Achalandage 2021'!F304+'Achalandage 2021'!F313+'Achalandage 2021'!F322+'Achalandage 2021'!F332+'Achalandage 2021'!F341+'Achalandage 2021'!F350+'Achalandage 2021'!F359+'Achalandage 2021'!F368+'Achalandage 2021'!F377+'Achalandage 2021'!F386</f>
        <v>310</v>
      </c>
      <c r="G12" s="70">
        <f>+'Achalandage 2021'!G12+'Achalandage 2021'!G21+'Achalandage 2021'!G30+'Achalandage 2021'!G39+'Achalandage 2021'!G48+'Achalandage 2021'!G57+'Achalandage 2021'!G66+'Achalandage 2021'!G76+'Achalandage 2021'!G85+'Achalandage 2021'!G94+'Achalandage 2021'!G103+'Achalandage 2021'!G112+'Achalandage 2021'!G121+'Achalandage 2021'!G130+'Achalandage 2021'!G140+'Achalandage 2021'!G149+'Achalandage 2021'!G158+'Achalandage 2021'!G167+'Achalandage 2021'!G176+'Achalandage 2021'!G185+'Achalandage 2021'!G194+'Achalandage 2021'!G204+'Achalandage 2021'!G213+'Achalandage 2021'!G222+'Achalandage 2021'!G231+'Achalandage 2021'!G240+'Achalandage 2021'!G249+'Achalandage 2021'!G258+'Achalandage 2021'!G268+'Achalandage 2021'!G277+'Achalandage 2021'!G286+'Achalandage 2021'!G295+'Achalandage 2021'!G304+'Achalandage 2021'!G313+'Achalandage 2021'!G322+'Achalandage 2021'!G332+'Achalandage 2021'!G341+'Achalandage 2021'!G350+'Achalandage 2021'!G359+'Achalandage 2021'!G368+'Achalandage 2021'!G377+'Achalandage 2021'!G386</f>
        <v>420</v>
      </c>
      <c r="H12" s="70">
        <f>+'Achalandage 2021'!H12+'Achalandage 2021'!H21+'Achalandage 2021'!H30+'Achalandage 2021'!H39+'Achalandage 2021'!H48+'Achalandage 2021'!H57+'Achalandage 2021'!H66+'Achalandage 2021'!H76+'Achalandage 2021'!H85+'Achalandage 2021'!H94+'Achalandage 2021'!H103+'Achalandage 2021'!H112+'Achalandage 2021'!H121+'Achalandage 2021'!H130+'Achalandage 2021'!H140+'Achalandage 2021'!H149+'Achalandage 2021'!H158+'Achalandage 2021'!H167+'Achalandage 2021'!H176+'Achalandage 2021'!H185+'Achalandage 2021'!H194+'Achalandage 2021'!H204+'Achalandage 2021'!H213+'Achalandage 2021'!H222+'Achalandage 2021'!H231+'Achalandage 2021'!H240+'Achalandage 2021'!H249+'Achalandage 2021'!H258+'Achalandage 2021'!H268+'Achalandage 2021'!H277+'Achalandage 2021'!H286+'Achalandage 2021'!H295+'Achalandage 2021'!H304+'Achalandage 2021'!H313+'Achalandage 2021'!H322+'Achalandage 2021'!H332+'Achalandage 2021'!H341+'Achalandage 2021'!H350+'Achalandage 2021'!H359+'Achalandage 2021'!H368+'Achalandage 2021'!H377+'Achalandage 2021'!H386</f>
        <v>1385</v>
      </c>
      <c r="I12" s="70">
        <f>+'Achalandage 2021'!I12+'Achalandage 2021'!I21+'Achalandage 2021'!I30+'Achalandage 2021'!I39+'Achalandage 2021'!I48+'Achalandage 2021'!I57+'Achalandage 2021'!I66+'Achalandage 2021'!I76+'Achalandage 2021'!I85+'Achalandage 2021'!I94+'Achalandage 2021'!I103+'Achalandage 2021'!I112+'Achalandage 2021'!I121+'Achalandage 2021'!I130+'Achalandage 2021'!I140+'Achalandage 2021'!I149+'Achalandage 2021'!I158+'Achalandage 2021'!I167+'Achalandage 2021'!I176+'Achalandage 2021'!I185+'Achalandage 2021'!I194+'Achalandage 2021'!I204+'Achalandage 2021'!I213+'Achalandage 2021'!I222+'Achalandage 2021'!I231+'Achalandage 2021'!I240+'Achalandage 2021'!I249+'Achalandage 2021'!I258+'Achalandage 2021'!I268+'Achalandage 2021'!I277+'Achalandage 2021'!I286+'Achalandage 2021'!I295+'Achalandage 2021'!I304+'Achalandage 2021'!I313+'Achalandage 2021'!I322+'Achalandage 2021'!I332+'Achalandage 2021'!I341+'Achalandage 2021'!I350+'Achalandage 2021'!I359+'Achalandage 2021'!I368+'Achalandage 2021'!I377+'Achalandage 2021'!I386</f>
        <v>450</v>
      </c>
      <c r="J12" s="70">
        <f>+'Achalandage 2021'!J12+'Achalandage 2021'!J21+'Achalandage 2021'!J30+'Achalandage 2021'!J39+'Achalandage 2021'!J48+'Achalandage 2021'!J57+'Achalandage 2021'!J66+'Achalandage 2021'!J76+'Achalandage 2021'!J85+'Achalandage 2021'!J94+'Achalandage 2021'!J103+'Achalandage 2021'!J112+'Achalandage 2021'!J121+'Achalandage 2021'!J130+'Achalandage 2021'!J140+'Achalandage 2021'!J149+'Achalandage 2021'!J158+'Achalandage 2021'!J167+'Achalandage 2021'!J176+'Achalandage 2021'!J185+'Achalandage 2021'!J194+'Achalandage 2021'!J204+'Achalandage 2021'!J213+'Achalandage 2021'!J222+'Achalandage 2021'!J231+'Achalandage 2021'!J240+'Achalandage 2021'!J249+'Achalandage 2021'!J258+'Achalandage 2021'!J268+'Achalandage 2021'!J277+'Achalandage 2021'!J286+'Achalandage 2021'!J295+'Achalandage 2021'!J304+'Achalandage 2021'!J313+'Achalandage 2021'!J322+'Achalandage 2021'!J332+'Achalandage 2021'!J341+'Achalandage 2021'!J350+'Achalandage 2021'!J359+'Achalandage 2021'!J368+'Achalandage 2021'!J377+'Achalandage 2021'!J386</f>
        <v>310</v>
      </c>
      <c r="K12" s="70">
        <f>+'Achalandage 2021'!K12+'Achalandage 2021'!K21+'Achalandage 2021'!K30+'Achalandage 2021'!K39+'Achalandage 2021'!K48+'Achalandage 2021'!K57+'Achalandage 2021'!K66+'Achalandage 2021'!K76+'Achalandage 2021'!K85+'Achalandage 2021'!K94+'Achalandage 2021'!K103+'Achalandage 2021'!K112+'Achalandage 2021'!K121+'Achalandage 2021'!K130+'Achalandage 2021'!K140+'Achalandage 2021'!K149+'Achalandage 2021'!K158+'Achalandage 2021'!K167+'Achalandage 2021'!K176+'Achalandage 2021'!K185+'Achalandage 2021'!K194+'Achalandage 2021'!K204+'Achalandage 2021'!K213+'Achalandage 2021'!K222+'Achalandage 2021'!K231+'Achalandage 2021'!K240+'Achalandage 2021'!K249+'Achalandage 2021'!K258+'Achalandage 2021'!K268+'Achalandage 2021'!K277+'Achalandage 2021'!K286+'Achalandage 2021'!K295+'Achalandage 2021'!K304+'Achalandage 2021'!K313+'Achalandage 2021'!K322+'Achalandage 2021'!K332+'Achalandage 2021'!K341+'Achalandage 2021'!K350+'Achalandage 2021'!K359+'Achalandage 2021'!K368+'Achalandage 2021'!K377+'Achalandage 2021'!K386</f>
        <v>868</v>
      </c>
      <c r="L12" s="70">
        <f>+'Achalandage 2021'!L12+'Achalandage 2021'!L21+'Achalandage 2021'!L30+'Achalandage 2021'!L39+'Achalandage 2021'!L48+'Achalandage 2021'!L57+'Achalandage 2021'!L66+'Achalandage 2021'!L76+'Achalandage 2021'!L85+'Achalandage 2021'!L94+'Achalandage 2021'!L103+'Achalandage 2021'!L112+'Achalandage 2021'!L121+'Achalandage 2021'!L130+'Achalandage 2021'!L140+'Achalandage 2021'!L149+'Achalandage 2021'!L158+'Achalandage 2021'!L167+'Achalandage 2021'!L176+'Achalandage 2021'!L185+'Achalandage 2021'!L194+'Achalandage 2021'!L204+'Achalandage 2021'!L213+'Achalandage 2021'!L222+'Achalandage 2021'!L231+'Achalandage 2021'!L240+'Achalandage 2021'!L249+'Achalandage 2021'!L258+'Achalandage 2021'!L268+'Achalandage 2021'!L277+'Achalandage 2021'!L286+'Achalandage 2021'!L295+'Achalandage 2021'!L304+'Achalandage 2021'!L313+'Achalandage 2021'!L322+'Achalandage 2021'!L332+'Achalandage 2021'!L341+'Achalandage 2021'!L350+'Achalandage 2021'!L359+'Achalandage 2021'!L368+'Achalandage 2021'!L377+'Achalandage 2021'!L386</f>
        <v>750</v>
      </c>
      <c r="M12" s="70">
        <f>+'Achalandage 2021'!M12+'Achalandage 2021'!M21+'Achalandage 2021'!M30+'Achalandage 2021'!M39+'Achalandage 2021'!M48+'Achalandage 2021'!M57+'Achalandage 2021'!M66+'Achalandage 2021'!M76+'Achalandage 2021'!M85+'Achalandage 2021'!M94+'Achalandage 2021'!M103+'Achalandage 2021'!M112+'Achalandage 2021'!M121+'Achalandage 2021'!M130+'Achalandage 2021'!M140+'Achalandage 2021'!M149+'Achalandage 2021'!M158+'Achalandage 2021'!M167+'Achalandage 2021'!M176+'Achalandage 2021'!M185+'Achalandage 2021'!M194+'Achalandage 2021'!M204+'Achalandage 2021'!M213+'Achalandage 2021'!M222+'Achalandage 2021'!M231+'Achalandage 2021'!M240+'Achalandage 2021'!M249+'Achalandage 2021'!M258+'Achalandage 2021'!M268+'Achalandage 2021'!M277+'Achalandage 2021'!M286+'Achalandage 2021'!M295+'Achalandage 2021'!M304+'Achalandage 2021'!M313+'Achalandage 2021'!M322+'Achalandage 2021'!M332+'Achalandage 2021'!M341+'Achalandage 2021'!M350+'Achalandage 2021'!M359+'Achalandage 2021'!M368+'Achalandage 2021'!M377+'Achalandage 2021'!M386</f>
        <v>740</v>
      </c>
      <c r="N12" s="70">
        <f>+'Achalandage 2021'!N12+'Achalandage 2021'!N21+'Achalandage 2021'!N30+'Achalandage 2021'!N39+'Achalandage 2021'!N48+'Achalandage 2021'!N57+'Achalandage 2021'!N66+'Achalandage 2021'!N76+'Achalandage 2021'!N85+'Achalandage 2021'!N94+'Achalandage 2021'!N103+'Achalandage 2021'!N112+'Achalandage 2021'!N121+'Achalandage 2021'!N130+'Achalandage 2021'!N140+'Achalandage 2021'!N149+'Achalandage 2021'!N158+'Achalandage 2021'!N167+'Achalandage 2021'!N176+'Achalandage 2021'!N185+'Achalandage 2021'!N194+'Achalandage 2021'!N204+'Achalandage 2021'!N213+'Achalandage 2021'!N222+'Achalandage 2021'!N231+'Achalandage 2021'!N240+'Achalandage 2021'!N249+'Achalandage 2021'!N258+'Achalandage 2021'!N268+'Achalandage 2021'!N277+'Achalandage 2021'!N286+'Achalandage 2021'!N295+'Achalandage 2021'!N304+'Achalandage 2021'!N313+'Achalandage 2021'!N322+'Achalandage 2021'!N332+'Achalandage 2021'!N341+'Achalandage 2021'!N350+'Achalandage 2021'!N359+'Achalandage 2021'!N368+'Achalandage 2021'!N377+'Achalandage 2021'!N386</f>
        <v>628</v>
      </c>
      <c r="O12" s="70">
        <f>+'Achalandage 2021'!O12+'Achalandage 2021'!O21+'Achalandage 2021'!O30+'Achalandage 2021'!O39+'Achalandage 2021'!O48+'Achalandage 2021'!O57+'Achalandage 2021'!O66+'Achalandage 2021'!O76+'Achalandage 2021'!O85+'Achalandage 2021'!O94+'Achalandage 2021'!O103+'Achalandage 2021'!O112+'Achalandage 2021'!O121+'Achalandage 2021'!O130+'Achalandage 2021'!O140+'Achalandage 2021'!O149+'Achalandage 2021'!O158+'Achalandage 2021'!O167+'Achalandage 2021'!O176+'Achalandage 2021'!O185+'Achalandage 2021'!O194+'Achalandage 2021'!O204+'Achalandage 2021'!O213+'Achalandage 2021'!O222+'Achalandage 2021'!O231+'Achalandage 2021'!O240+'Achalandage 2021'!O249+'Achalandage 2021'!O258+'Achalandage 2021'!O268+'Achalandage 2021'!O277+'Achalandage 2021'!O286+'Achalandage 2021'!O295+'Achalandage 2021'!O304+'Achalandage 2021'!O313+'Achalandage 2021'!O322+'Achalandage 2021'!O332+'Achalandage 2021'!O341+'Achalandage 2021'!O350+'Achalandage 2021'!O359+'Achalandage 2021'!O368+'Achalandage 2021'!O377+'Achalandage 2021'!O386</f>
        <v>775</v>
      </c>
      <c r="P12" s="67">
        <f>+D12+E12+F12+G12+H12+I12+J12+K12+L12+M12+N12+O12</f>
        <v>7692</v>
      </c>
    </row>
    <row r="13" spans="2:16" ht="13" customHeight="1" x14ac:dyDescent="0.15">
      <c r="B13" s="101">
        <v>3</v>
      </c>
      <c r="C13" s="102" t="s">
        <v>5</v>
      </c>
      <c r="D13" s="70">
        <f>+'Achalandage 2021'!D13+'Achalandage 2021'!D22+'Achalandage 2021'!D31+'Achalandage 2021'!D40+'Achalandage 2021'!D49+'Achalandage 2021'!D58+'Achalandage 2021'!D67+'Achalandage 2021'!D77+'Achalandage 2021'!D86+'Achalandage 2021'!D95+'Achalandage 2021'!D104+'Achalandage 2021'!D113+'Achalandage 2021'!D122+'Achalandage 2021'!D131+'Achalandage 2021'!D141+'Achalandage 2021'!D150+'Achalandage 2021'!D159+'Achalandage 2021'!D168+'Achalandage 2021'!D177+'Achalandage 2021'!D186+'Achalandage 2021'!D195+'Achalandage 2021'!D205+'Achalandage 2021'!D214+'Achalandage 2021'!D223+'Achalandage 2021'!D232+'Achalandage 2021'!D241+'Achalandage 2021'!D250+'Achalandage 2021'!D259+'Achalandage 2021'!D269+'Achalandage 2021'!D278+'Achalandage 2021'!D287+'Achalandage 2021'!D296+'Achalandage 2021'!D305+'Achalandage 2021'!D314+'Achalandage 2021'!D323+'Achalandage 2021'!D333+'Achalandage 2021'!D342+'Achalandage 2021'!D351+'Achalandage 2021'!D360+'Achalandage 2021'!D369+'Achalandage 2021'!D378+'Achalandage 2021'!D387</f>
        <v>800</v>
      </c>
      <c r="E13" s="70">
        <f>+'Achalandage 2021'!E13+'Achalandage 2021'!E22+'Achalandage 2021'!E31+'Achalandage 2021'!E40+'Achalandage 2021'!E49+'Achalandage 2021'!E58+'Achalandage 2021'!E67+'Achalandage 2021'!E77+'Achalandage 2021'!E86+'Achalandage 2021'!E95+'Achalandage 2021'!E104+'Achalandage 2021'!E113+'Achalandage 2021'!E122+'Achalandage 2021'!E131+'Achalandage 2021'!E141+'Achalandage 2021'!E150+'Achalandage 2021'!E159+'Achalandage 2021'!E168+'Achalandage 2021'!E177+'Achalandage 2021'!E186+'Achalandage 2021'!E195+'Achalandage 2021'!E205+'Achalandage 2021'!E214+'Achalandage 2021'!E223+'Achalandage 2021'!E232+'Achalandage 2021'!E241+'Achalandage 2021'!E250+'Achalandage 2021'!E259+'Achalandage 2021'!E269+'Achalandage 2021'!E278+'Achalandage 2021'!E287+'Achalandage 2021'!E296+'Achalandage 2021'!E305+'Achalandage 2021'!E314+'Achalandage 2021'!E323+'Achalandage 2021'!E333+'Achalandage 2021'!E342+'Achalandage 2021'!E351+'Achalandage 2021'!E360+'Achalandage 2021'!E369+'Achalandage 2021'!E378+'Achalandage 2021'!E387</f>
        <v>1370</v>
      </c>
      <c r="F13" s="70">
        <f>+'Achalandage 2021'!F13+'Achalandage 2021'!F22+'Achalandage 2021'!F31+'Achalandage 2021'!F40+'Achalandage 2021'!F49+'Achalandage 2021'!F58+'Achalandage 2021'!F67+'Achalandage 2021'!F77+'Achalandage 2021'!F86+'Achalandage 2021'!F95+'Achalandage 2021'!F104+'Achalandage 2021'!F113+'Achalandage 2021'!F122+'Achalandage 2021'!F131+'Achalandage 2021'!F141+'Achalandage 2021'!F150+'Achalandage 2021'!F159+'Achalandage 2021'!F168+'Achalandage 2021'!F177+'Achalandage 2021'!F186+'Achalandage 2021'!F195+'Achalandage 2021'!F205+'Achalandage 2021'!F214+'Achalandage 2021'!F223+'Achalandage 2021'!F232+'Achalandage 2021'!F241+'Achalandage 2021'!F250+'Achalandage 2021'!F259+'Achalandage 2021'!F269+'Achalandage 2021'!F278+'Achalandage 2021'!F287+'Achalandage 2021'!F296+'Achalandage 2021'!F305+'Achalandage 2021'!F314+'Achalandage 2021'!F323+'Achalandage 2021'!F333+'Achalandage 2021'!F342+'Achalandage 2021'!F351+'Achalandage 2021'!F360+'Achalandage 2021'!F369+'Achalandage 2021'!F378+'Achalandage 2021'!F387</f>
        <v>1085</v>
      </c>
      <c r="G13" s="70">
        <f>+'Achalandage 2021'!G13+'Achalandage 2021'!G22+'Achalandage 2021'!G31+'Achalandage 2021'!G40+'Achalandage 2021'!G49+'Achalandage 2021'!G58+'Achalandage 2021'!G67+'Achalandage 2021'!G77+'Achalandage 2021'!G86+'Achalandage 2021'!G95+'Achalandage 2021'!G104+'Achalandage 2021'!G113+'Achalandage 2021'!G122+'Achalandage 2021'!G131+'Achalandage 2021'!G141+'Achalandage 2021'!G150+'Achalandage 2021'!G159+'Achalandage 2021'!G168+'Achalandage 2021'!G177+'Achalandage 2021'!G186+'Achalandage 2021'!G195+'Achalandage 2021'!G205+'Achalandage 2021'!G214+'Achalandage 2021'!G223+'Achalandage 2021'!G232+'Achalandage 2021'!G241+'Achalandage 2021'!G250+'Achalandage 2021'!G259+'Achalandage 2021'!G269+'Achalandage 2021'!G278+'Achalandage 2021'!G287+'Achalandage 2021'!G296+'Achalandage 2021'!G305+'Achalandage 2021'!G314+'Achalandage 2021'!G323+'Achalandage 2021'!G333+'Achalandage 2021'!G342+'Achalandage 2021'!G351+'Achalandage 2021'!G360+'Achalandage 2021'!G369+'Achalandage 2021'!G378+'Achalandage 2021'!G387</f>
        <v>1220</v>
      </c>
      <c r="H13" s="70">
        <f>+'Achalandage 2021'!H13+'Achalandage 2021'!H22+'Achalandage 2021'!H31+'Achalandage 2021'!H40+'Achalandage 2021'!H49+'Achalandage 2021'!H58+'Achalandage 2021'!H67+'Achalandage 2021'!H77+'Achalandage 2021'!H86+'Achalandage 2021'!H95+'Achalandage 2021'!H104+'Achalandage 2021'!H113+'Achalandage 2021'!H122+'Achalandage 2021'!H131+'Achalandage 2021'!H141+'Achalandage 2021'!H150+'Achalandage 2021'!H159+'Achalandage 2021'!H168+'Achalandage 2021'!H177+'Achalandage 2021'!H186+'Achalandage 2021'!H195+'Achalandage 2021'!H205+'Achalandage 2021'!H214+'Achalandage 2021'!H223+'Achalandage 2021'!H232+'Achalandage 2021'!H241+'Achalandage 2021'!H250+'Achalandage 2021'!H259+'Achalandage 2021'!H269+'Achalandage 2021'!H278+'Achalandage 2021'!H287+'Achalandage 2021'!H296+'Achalandage 2021'!H305+'Achalandage 2021'!H314+'Achalandage 2021'!H323+'Achalandage 2021'!H333+'Achalandage 2021'!H342+'Achalandage 2021'!H351+'Achalandage 2021'!H360+'Achalandage 2021'!H369+'Achalandage 2021'!H378+'Achalandage 2021'!H387</f>
        <v>1416</v>
      </c>
      <c r="I13" s="70">
        <f>+'Achalandage 2021'!I13+'Achalandage 2021'!I22+'Achalandage 2021'!I31+'Achalandage 2021'!I40+'Achalandage 2021'!I49+'Achalandage 2021'!I58+'Achalandage 2021'!I67+'Achalandage 2021'!I77+'Achalandage 2021'!I86+'Achalandage 2021'!I95+'Achalandage 2021'!I104+'Achalandage 2021'!I113+'Achalandage 2021'!I122+'Achalandage 2021'!I131+'Achalandage 2021'!I141+'Achalandage 2021'!I150+'Achalandage 2021'!I159+'Achalandage 2021'!I168+'Achalandage 2021'!I177+'Achalandage 2021'!I186+'Achalandage 2021'!I195+'Achalandage 2021'!I205+'Achalandage 2021'!I214+'Achalandage 2021'!I223+'Achalandage 2021'!I232+'Achalandage 2021'!I241+'Achalandage 2021'!I250+'Achalandage 2021'!I259+'Achalandage 2021'!I269+'Achalandage 2021'!I278+'Achalandage 2021'!I287+'Achalandage 2021'!I296+'Achalandage 2021'!I305+'Achalandage 2021'!I314+'Achalandage 2021'!I323+'Achalandage 2021'!I333+'Achalandage 2021'!I342+'Achalandage 2021'!I351+'Achalandage 2021'!I360+'Achalandage 2021'!I369+'Achalandage 2021'!I378+'Achalandage 2021'!I387</f>
        <v>1350</v>
      </c>
      <c r="J13" s="70">
        <f>+'Achalandage 2021'!J13+'Achalandage 2021'!J22+'Achalandage 2021'!J31+'Achalandage 2021'!J40+'Achalandage 2021'!J49+'Achalandage 2021'!J58+'Achalandage 2021'!J67+'Achalandage 2021'!J77+'Achalandage 2021'!J86+'Achalandage 2021'!J95+'Achalandage 2021'!J104+'Achalandage 2021'!J113+'Achalandage 2021'!J122+'Achalandage 2021'!J131+'Achalandage 2021'!J141+'Achalandage 2021'!J150+'Achalandage 2021'!J159+'Achalandage 2021'!J168+'Achalandage 2021'!J177+'Achalandage 2021'!J186+'Achalandage 2021'!J195+'Achalandage 2021'!J205+'Achalandage 2021'!J214+'Achalandage 2021'!J223+'Achalandage 2021'!J232+'Achalandage 2021'!J241+'Achalandage 2021'!J250+'Achalandage 2021'!J259+'Achalandage 2021'!J269+'Achalandage 2021'!J278+'Achalandage 2021'!J287+'Achalandage 2021'!J296+'Achalandage 2021'!J305+'Achalandage 2021'!J314+'Achalandage 2021'!J323+'Achalandage 2021'!J333+'Achalandage 2021'!J342+'Achalandage 2021'!J351+'Achalandage 2021'!J360+'Achalandage 2021'!J369+'Achalandage 2021'!J378+'Achalandage 2021'!J387</f>
        <v>1387</v>
      </c>
      <c r="K13" s="70">
        <f>+'Achalandage 2021'!K13+'Achalandage 2021'!K22+'Achalandage 2021'!K31+'Achalandage 2021'!K40+'Achalandage 2021'!K49+'Achalandage 2021'!K58+'Achalandage 2021'!K67+'Achalandage 2021'!K77+'Achalandage 2021'!K86+'Achalandage 2021'!K95+'Achalandage 2021'!K104+'Achalandage 2021'!K113+'Achalandage 2021'!K122+'Achalandage 2021'!K131+'Achalandage 2021'!K141+'Achalandage 2021'!K150+'Achalandage 2021'!K159+'Achalandage 2021'!K168+'Achalandage 2021'!K177+'Achalandage 2021'!K186+'Achalandage 2021'!K195+'Achalandage 2021'!K205+'Achalandage 2021'!K214+'Achalandage 2021'!K223+'Achalandage 2021'!K232+'Achalandage 2021'!K241+'Achalandage 2021'!K250+'Achalandage 2021'!K259+'Achalandage 2021'!K269+'Achalandage 2021'!K278+'Achalandage 2021'!K287+'Achalandage 2021'!K296+'Achalandage 2021'!K305+'Achalandage 2021'!K314+'Achalandage 2021'!K323+'Achalandage 2021'!K333+'Achalandage 2021'!K342+'Achalandage 2021'!K351+'Achalandage 2021'!K360+'Achalandage 2021'!K369+'Achalandage 2021'!K378+'Achalandage 2021'!K387</f>
        <v>878</v>
      </c>
      <c r="L13" s="70">
        <f>+'Achalandage 2021'!L13+'Achalandage 2021'!L22+'Achalandage 2021'!L31+'Achalandage 2021'!L40+'Achalandage 2021'!L49+'Achalandage 2021'!L58+'Achalandage 2021'!L67+'Achalandage 2021'!L77+'Achalandage 2021'!L86+'Achalandage 2021'!L95+'Achalandage 2021'!L104+'Achalandage 2021'!L113+'Achalandage 2021'!L122+'Achalandage 2021'!L131+'Achalandage 2021'!L141+'Achalandage 2021'!L150+'Achalandage 2021'!L159+'Achalandage 2021'!L168+'Achalandage 2021'!L177+'Achalandage 2021'!L186+'Achalandage 2021'!L195+'Achalandage 2021'!L205+'Achalandage 2021'!L214+'Achalandage 2021'!L223+'Achalandage 2021'!L232+'Achalandage 2021'!L241+'Achalandage 2021'!L250+'Achalandage 2021'!L259+'Achalandage 2021'!L269+'Achalandage 2021'!L278+'Achalandage 2021'!L287+'Achalandage 2021'!L296+'Achalandage 2021'!L305+'Achalandage 2021'!L314+'Achalandage 2021'!L323+'Achalandage 2021'!L333+'Achalandage 2021'!L342+'Achalandage 2021'!L351+'Achalandage 2021'!L360+'Achalandage 2021'!L369+'Achalandage 2021'!L378+'Achalandage 2021'!L387</f>
        <v>762</v>
      </c>
      <c r="M13" s="70">
        <f>+'Achalandage 2021'!M13+'Achalandage 2021'!M22+'Achalandage 2021'!M31+'Achalandage 2021'!M40+'Achalandage 2021'!M49+'Achalandage 2021'!M58+'Achalandage 2021'!M67+'Achalandage 2021'!M77+'Achalandage 2021'!M86+'Achalandage 2021'!M95+'Achalandage 2021'!M104+'Achalandage 2021'!M113+'Achalandage 2021'!M122+'Achalandage 2021'!M131+'Achalandage 2021'!M141+'Achalandage 2021'!M150+'Achalandage 2021'!M159+'Achalandage 2021'!M168+'Achalandage 2021'!M177+'Achalandage 2021'!M186+'Achalandage 2021'!M195+'Achalandage 2021'!M205+'Achalandage 2021'!M214+'Achalandage 2021'!M223+'Achalandage 2021'!M232+'Achalandage 2021'!M241+'Achalandage 2021'!M250+'Achalandage 2021'!M259+'Achalandage 2021'!M269+'Achalandage 2021'!M278+'Achalandage 2021'!M287+'Achalandage 2021'!M296+'Achalandage 2021'!M305+'Achalandage 2021'!M314+'Achalandage 2021'!M323+'Achalandage 2021'!M333+'Achalandage 2021'!M342+'Achalandage 2021'!M351+'Achalandage 2021'!M360+'Achalandage 2021'!M369+'Achalandage 2021'!M378+'Achalandage 2021'!M387</f>
        <v>744</v>
      </c>
      <c r="N13" s="70">
        <f>+'Achalandage 2021'!N13+'Achalandage 2021'!N22+'Achalandage 2021'!N31+'Achalandage 2021'!N40+'Achalandage 2021'!N49+'Achalandage 2021'!N58+'Achalandage 2021'!N67+'Achalandage 2021'!N77+'Achalandage 2021'!N86+'Achalandage 2021'!N95+'Achalandage 2021'!N104+'Achalandage 2021'!N113+'Achalandage 2021'!N122+'Achalandage 2021'!N131+'Achalandage 2021'!N141+'Achalandage 2021'!N150+'Achalandage 2021'!N159+'Achalandage 2021'!N168+'Achalandage 2021'!N177+'Achalandage 2021'!N186+'Achalandage 2021'!N195+'Achalandage 2021'!N205+'Achalandage 2021'!N214+'Achalandage 2021'!N223+'Achalandage 2021'!N232+'Achalandage 2021'!N241+'Achalandage 2021'!N250+'Achalandage 2021'!N259+'Achalandage 2021'!N269+'Achalandage 2021'!N278+'Achalandage 2021'!N287+'Achalandage 2021'!N296+'Achalandage 2021'!N305+'Achalandage 2021'!N314+'Achalandage 2021'!N323+'Achalandage 2021'!N333+'Achalandage 2021'!N342+'Achalandage 2021'!N351+'Achalandage 2021'!N360+'Achalandage 2021'!N369+'Achalandage 2021'!N378+'Achalandage 2021'!N387</f>
        <v>745</v>
      </c>
      <c r="O13" s="70">
        <f>+'Achalandage 2021'!O13+'Achalandage 2021'!O22+'Achalandage 2021'!O31+'Achalandage 2021'!O40+'Achalandage 2021'!O49+'Achalandage 2021'!O58+'Achalandage 2021'!O67+'Achalandage 2021'!O77+'Achalandage 2021'!O86+'Achalandage 2021'!O95+'Achalandage 2021'!O104+'Achalandage 2021'!O113+'Achalandage 2021'!O122+'Achalandage 2021'!O131+'Achalandage 2021'!O141+'Achalandage 2021'!O150+'Achalandage 2021'!O159+'Achalandage 2021'!O168+'Achalandage 2021'!O177+'Achalandage 2021'!O186+'Achalandage 2021'!O195+'Achalandage 2021'!O205+'Achalandage 2021'!O214+'Achalandage 2021'!O223+'Achalandage 2021'!O232+'Achalandage 2021'!O241+'Achalandage 2021'!O250+'Achalandage 2021'!O259+'Achalandage 2021'!O269+'Achalandage 2021'!O278+'Achalandage 2021'!O287+'Achalandage 2021'!O296+'Achalandage 2021'!O305+'Achalandage 2021'!O314+'Achalandage 2021'!O323+'Achalandage 2021'!O333+'Achalandage 2021'!O342+'Achalandage 2021'!O351+'Achalandage 2021'!O360+'Achalandage 2021'!O369+'Achalandage 2021'!O378+'Achalandage 2021'!O387</f>
        <v>775</v>
      </c>
      <c r="P13" s="67">
        <f t="shared" ref="P13:P17" si="4">+D13+E13+F13+G13+H13+I13+J13+K13+L13+M13+N13+O13</f>
        <v>12532</v>
      </c>
    </row>
    <row r="14" spans="2:16" x14ac:dyDescent="0.15">
      <c r="B14" s="101">
        <v>4</v>
      </c>
      <c r="C14" s="102" t="s">
        <v>6</v>
      </c>
      <c r="D14" s="70">
        <f>+'Achalandage 2021'!D14+'Achalandage 2021'!D23+'Achalandage 2021'!D32+'Achalandage 2021'!D41+'Achalandage 2021'!D50+'Achalandage 2021'!D59+'Achalandage 2021'!D68+'Achalandage 2021'!D78+'Achalandage 2021'!D87+'Achalandage 2021'!D96+'Achalandage 2021'!D105+'Achalandage 2021'!D114+'Achalandage 2021'!D123+'Achalandage 2021'!D132+'Achalandage 2021'!D142+'Achalandage 2021'!D151+'Achalandage 2021'!D160+'Achalandage 2021'!D169+'Achalandage 2021'!D178+'Achalandage 2021'!D187+'Achalandage 2021'!D196+'Achalandage 2021'!D206+'Achalandage 2021'!D215+'Achalandage 2021'!D224+'Achalandage 2021'!D233+'Achalandage 2021'!D242+'Achalandage 2021'!D251+'Achalandage 2021'!D260+'Achalandage 2021'!D270+'Achalandage 2021'!D279+'Achalandage 2021'!D288+'Achalandage 2021'!D297+'Achalandage 2021'!D306+'Achalandage 2021'!D315+'Achalandage 2021'!D324+'Achalandage 2021'!D334+'Achalandage 2021'!D343+'Achalandage 2021'!D352+'Achalandage 2021'!D361+'Achalandage 2021'!D370+'Achalandage 2021'!D379+'Achalandage 2021'!D388</f>
        <v>435</v>
      </c>
      <c r="E14" s="70">
        <f>+'Achalandage 2021'!E14+'Achalandage 2021'!E23+'Achalandage 2021'!E32+'Achalandage 2021'!E41+'Achalandage 2021'!E50+'Achalandage 2021'!E59+'Achalandage 2021'!E68+'Achalandage 2021'!E78+'Achalandage 2021'!E87+'Achalandage 2021'!E96+'Achalandage 2021'!E105+'Achalandage 2021'!E114+'Achalandage 2021'!E123+'Achalandage 2021'!E132+'Achalandage 2021'!E142+'Achalandage 2021'!E151+'Achalandage 2021'!E160+'Achalandage 2021'!E169+'Achalandage 2021'!E178+'Achalandage 2021'!E187+'Achalandage 2021'!E196+'Achalandage 2021'!E206+'Achalandage 2021'!E215+'Achalandage 2021'!E224+'Achalandage 2021'!E233+'Achalandage 2021'!E242+'Achalandage 2021'!E251+'Achalandage 2021'!E260+'Achalandage 2021'!E270+'Achalandage 2021'!E279+'Achalandage 2021'!E288+'Achalandage 2021'!E297+'Achalandage 2021'!E306+'Achalandage 2021'!E315+'Achalandage 2021'!E324+'Achalandage 2021'!E334+'Achalandage 2021'!E343+'Achalandage 2021'!E352+'Achalandage 2021'!E361+'Achalandage 2021'!E370+'Achalandage 2021'!E379+'Achalandage 2021'!E388</f>
        <v>413</v>
      </c>
      <c r="F14" s="70">
        <f>+'Achalandage 2021'!F14+'Achalandage 2021'!F23+'Achalandage 2021'!F32+'Achalandage 2021'!F41+'Achalandage 2021'!F50+'Achalandage 2021'!F59+'Achalandage 2021'!F68+'Achalandage 2021'!F78+'Achalandage 2021'!F87+'Achalandage 2021'!F96+'Achalandage 2021'!F105+'Achalandage 2021'!F114+'Achalandage 2021'!F123+'Achalandage 2021'!F132+'Achalandage 2021'!F142+'Achalandage 2021'!F151+'Achalandage 2021'!F160+'Achalandage 2021'!F169+'Achalandage 2021'!F178+'Achalandage 2021'!F187+'Achalandage 2021'!F196+'Achalandage 2021'!F206+'Achalandage 2021'!F215+'Achalandage 2021'!F224+'Achalandage 2021'!F233+'Achalandage 2021'!F242+'Achalandage 2021'!F251+'Achalandage 2021'!F260+'Achalandage 2021'!F270+'Achalandage 2021'!F279+'Achalandage 2021'!F288+'Achalandage 2021'!F297+'Achalandage 2021'!F306+'Achalandage 2021'!F315+'Achalandage 2021'!F324+'Achalandage 2021'!F334+'Achalandage 2021'!F343+'Achalandage 2021'!F352+'Achalandage 2021'!F361+'Achalandage 2021'!F370+'Achalandage 2021'!F379+'Achalandage 2021'!F388</f>
        <v>424</v>
      </c>
      <c r="G14" s="70">
        <f>+'Achalandage 2021'!G14+'Achalandage 2021'!G23+'Achalandage 2021'!G32+'Achalandage 2021'!G41+'Achalandage 2021'!G50+'Achalandage 2021'!G59+'Achalandage 2021'!G68+'Achalandage 2021'!G78+'Achalandage 2021'!G87+'Achalandage 2021'!G96+'Achalandage 2021'!G105+'Achalandage 2021'!G114+'Achalandage 2021'!G123+'Achalandage 2021'!G132+'Achalandage 2021'!G142+'Achalandage 2021'!G151+'Achalandage 2021'!G160+'Achalandage 2021'!G169+'Achalandage 2021'!G178+'Achalandage 2021'!G187+'Achalandage 2021'!G196+'Achalandage 2021'!G206+'Achalandage 2021'!G215+'Achalandage 2021'!G224+'Achalandage 2021'!G233+'Achalandage 2021'!G242+'Achalandage 2021'!G251+'Achalandage 2021'!G260+'Achalandage 2021'!G270+'Achalandage 2021'!G279+'Achalandage 2021'!G288+'Achalandage 2021'!G297+'Achalandage 2021'!G306+'Achalandage 2021'!G315+'Achalandage 2021'!G324+'Achalandage 2021'!G334+'Achalandage 2021'!G343+'Achalandage 2021'!G352+'Achalandage 2021'!G361+'Achalandage 2021'!G370+'Achalandage 2021'!G379+'Achalandage 2021'!G388</f>
        <v>441</v>
      </c>
      <c r="H14" s="70">
        <f>+'Achalandage 2021'!H14+'Achalandage 2021'!H23+'Achalandage 2021'!H32+'Achalandage 2021'!H41+'Achalandage 2021'!H50+'Achalandage 2021'!H59+'Achalandage 2021'!H68+'Achalandage 2021'!H78+'Achalandage 2021'!H87+'Achalandage 2021'!H96+'Achalandage 2021'!H105+'Achalandage 2021'!H114+'Achalandage 2021'!H123+'Achalandage 2021'!H132+'Achalandage 2021'!H142+'Achalandage 2021'!H151+'Achalandage 2021'!H160+'Achalandage 2021'!H169+'Achalandage 2021'!H178+'Achalandage 2021'!H187+'Achalandage 2021'!H196+'Achalandage 2021'!H206+'Achalandage 2021'!H215+'Achalandage 2021'!H224+'Achalandage 2021'!H233+'Achalandage 2021'!H242+'Achalandage 2021'!H251+'Achalandage 2021'!H260+'Achalandage 2021'!H270+'Achalandage 2021'!H279+'Achalandage 2021'!H288+'Achalandage 2021'!H297+'Achalandage 2021'!H306+'Achalandage 2021'!H315+'Achalandage 2021'!H324+'Achalandage 2021'!H334+'Achalandage 2021'!H343+'Achalandage 2021'!H352+'Achalandage 2021'!H361+'Achalandage 2021'!H370+'Achalandage 2021'!H379+'Achalandage 2021'!H388</f>
        <v>400</v>
      </c>
      <c r="I14" s="70">
        <f>+'Achalandage 2021'!I14+'Achalandage 2021'!I23+'Achalandage 2021'!I32+'Achalandage 2021'!I41+'Achalandage 2021'!I50+'Achalandage 2021'!I59+'Achalandage 2021'!I68+'Achalandage 2021'!I78+'Achalandage 2021'!I87+'Achalandage 2021'!I96+'Achalandage 2021'!I105+'Achalandage 2021'!I114+'Achalandage 2021'!I123+'Achalandage 2021'!I132+'Achalandage 2021'!I142+'Achalandage 2021'!I151+'Achalandage 2021'!I160+'Achalandage 2021'!I169+'Achalandage 2021'!I178+'Achalandage 2021'!I187+'Achalandage 2021'!I196+'Achalandage 2021'!I206+'Achalandage 2021'!I215+'Achalandage 2021'!I224+'Achalandage 2021'!I233+'Achalandage 2021'!I242+'Achalandage 2021'!I251+'Achalandage 2021'!I260+'Achalandage 2021'!I270+'Achalandage 2021'!I279+'Achalandage 2021'!I288+'Achalandage 2021'!I297+'Achalandage 2021'!I306+'Achalandage 2021'!I315+'Achalandage 2021'!I324+'Achalandage 2021'!I334+'Achalandage 2021'!I343+'Achalandage 2021'!I352+'Achalandage 2021'!I361+'Achalandage 2021'!I370+'Achalandage 2021'!I379+'Achalandage 2021'!I388</f>
        <v>542</v>
      </c>
      <c r="J14" s="70">
        <f>+'Achalandage 2021'!J14+'Achalandage 2021'!J23+'Achalandage 2021'!J32+'Achalandage 2021'!J41+'Achalandage 2021'!J50+'Achalandage 2021'!J59+'Achalandage 2021'!J68+'Achalandage 2021'!J78+'Achalandage 2021'!J87+'Achalandage 2021'!J96+'Achalandage 2021'!J105+'Achalandage 2021'!J114+'Achalandage 2021'!J123+'Achalandage 2021'!J132+'Achalandage 2021'!J142+'Achalandage 2021'!J151+'Achalandage 2021'!J160+'Achalandage 2021'!J169+'Achalandage 2021'!J178+'Achalandage 2021'!J187+'Achalandage 2021'!J196+'Achalandage 2021'!J206+'Achalandage 2021'!J215+'Achalandage 2021'!J224+'Achalandage 2021'!J233+'Achalandage 2021'!J242+'Achalandage 2021'!J251+'Achalandage 2021'!J260+'Achalandage 2021'!J270+'Achalandage 2021'!J279+'Achalandage 2021'!J288+'Achalandage 2021'!J297+'Achalandage 2021'!J306+'Achalandage 2021'!J315+'Achalandage 2021'!J324+'Achalandage 2021'!J334+'Achalandage 2021'!J343+'Achalandage 2021'!J352+'Achalandage 2021'!J361+'Achalandage 2021'!J370+'Achalandage 2021'!J379+'Achalandage 2021'!J388</f>
        <v>700</v>
      </c>
      <c r="K14" s="70">
        <f>+'Achalandage 2021'!K14+'Achalandage 2021'!K23+'Achalandage 2021'!K32+'Achalandage 2021'!K41+'Achalandage 2021'!K50+'Achalandage 2021'!K59+'Achalandage 2021'!K68+'Achalandage 2021'!K78+'Achalandage 2021'!K87+'Achalandage 2021'!K96+'Achalandage 2021'!K105+'Achalandage 2021'!K114+'Achalandage 2021'!K123+'Achalandage 2021'!K132+'Achalandage 2021'!K142+'Achalandage 2021'!K151+'Achalandage 2021'!K160+'Achalandage 2021'!K169+'Achalandage 2021'!K178+'Achalandage 2021'!K187+'Achalandage 2021'!K196+'Achalandage 2021'!K206+'Achalandage 2021'!K215+'Achalandage 2021'!K224+'Achalandage 2021'!K233+'Achalandage 2021'!K242+'Achalandage 2021'!K251+'Achalandage 2021'!K260+'Achalandage 2021'!K270+'Achalandage 2021'!K279+'Achalandage 2021'!K288+'Achalandage 2021'!K297+'Achalandage 2021'!K306+'Achalandage 2021'!K315+'Achalandage 2021'!K324+'Achalandage 2021'!K334+'Achalandage 2021'!K343+'Achalandage 2021'!K352+'Achalandage 2021'!K361+'Achalandage 2021'!K370+'Achalandage 2021'!K379+'Achalandage 2021'!K388</f>
        <v>948</v>
      </c>
      <c r="L14" s="70">
        <f>+'Achalandage 2021'!L14+'Achalandage 2021'!L23+'Achalandage 2021'!L32+'Achalandage 2021'!L41+'Achalandage 2021'!L50+'Achalandage 2021'!L59+'Achalandage 2021'!L68+'Achalandage 2021'!L78+'Achalandage 2021'!L87+'Achalandage 2021'!L96+'Achalandage 2021'!L105+'Achalandage 2021'!L114+'Achalandage 2021'!L123+'Achalandage 2021'!L132+'Achalandage 2021'!L142+'Achalandage 2021'!L151+'Achalandage 2021'!L160+'Achalandage 2021'!L169+'Achalandage 2021'!L178+'Achalandage 2021'!L187+'Achalandage 2021'!L196+'Achalandage 2021'!L206+'Achalandage 2021'!L215+'Achalandage 2021'!L224+'Achalandage 2021'!L233+'Achalandage 2021'!L242+'Achalandage 2021'!L251+'Achalandage 2021'!L260+'Achalandage 2021'!L270+'Achalandage 2021'!L279+'Achalandage 2021'!L288+'Achalandage 2021'!L297+'Achalandage 2021'!L306+'Achalandage 2021'!L315+'Achalandage 2021'!L324+'Achalandage 2021'!L334+'Achalandage 2021'!L343+'Achalandage 2021'!L352+'Achalandage 2021'!L361+'Achalandage 2021'!L370+'Achalandage 2021'!L379+'Achalandage 2021'!L388</f>
        <v>830</v>
      </c>
      <c r="M14" s="70">
        <f>+'Achalandage 2021'!M14+'Achalandage 2021'!M23+'Achalandage 2021'!M32+'Achalandage 2021'!M41+'Achalandage 2021'!M50+'Achalandage 2021'!M59+'Achalandage 2021'!M68+'Achalandage 2021'!M78+'Achalandage 2021'!M87+'Achalandage 2021'!M96+'Achalandage 2021'!M105+'Achalandage 2021'!M114+'Achalandage 2021'!M123+'Achalandage 2021'!M132+'Achalandage 2021'!M142+'Achalandage 2021'!M151+'Achalandage 2021'!M160+'Achalandage 2021'!M169+'Achalandage 2021'!M178+'Achalandage 2021'!M187+'Achalandage 2021'!M196+'Achalandage 2021'!M206+'Achalandage 2021'!M215+'Achalandage 2021'!M224+'Achalandage 2021'!M233+'Achalandage 2021'!M242+'Achalandage 2021'!M251+'Achalandage 2021'!M260+'Achalandage 2021'!M270+'Achalandage 2021'!M279+'Achalandage 2021'!M288+'Achalandage 2021'!M297+'Achalandage 2021'!M306+'Achalandage 2021'!M315+'Achalandage 2021'!M324+'Achalandage 2021'!M334+'Achalandage 2021'!M343+'Achalandage 2021'!M352+'Achalandage 2021'!M361+'Achalandage 2021'!M370+'Achalandage 2021'!M379+'Achalandage 2021'!M388</f>
        <v>834</v>
      </c>
      <c r="N14" s="70">
        <f>+'Achalandage 2021'!N14+'Achalandage 2021'!N23+'Achalandage 2021'!N32+'Achalandage 2021'!N41+'Achalandage 2021'!N50+'Achalandage 2021'!N59+'Achalandage 2021'!N68+'Achalandage 2021'!N78+'Achalandage 2021'!N87+'Achalandage 2021'!N96+'Achalandage 2021'!N105+'Achalandage 2021'!N114+'Achalandage 2021'!N123+'Achalandage 2021'!N132+'Achalandage 2021'!N142+'Achalandage 2021'!N151+'Achalandage 2021'!N160+'Achalandage 2021'!N169+'Achalandage 2021'!N178+'Achalandage 2021'!N187+'Achalandage 2021'!N196+'Achalandage 2021'!N206+'Achalandage 2021'!N215+'Achalandage 2021'!N224+'Achalandage 2021'!N233+'Achalandage 2021'!N242+'Achalandage 2021'!N251+'Achalandage 2021'!N260+'Achalandage 2021'!N270+'Achalandage 2021'!N279+'Achalandage 2021'!N288+'Achalandage 2021'!N297+'Achalandage 2021'!N306+'Achalandage 2021'!N315+'Achalandage 2021'!N324+'Achalandage 2021'!N334+'Achalandage 2021'!N343+'Achalandage 2021'!N352+'Achalandage 2021'!N361+'Achalandage 2021'!N370+'Achalandage 2021'!N379+'Achalandage 2021'!N388</f>
        <v>737</v>
      </c>
      <c r="O14" s="70">
        <f>+'Achalandage 2021'!O14+'Achalandage 2021'!O23+'Achalandage 2021'!O32+'Achalandage 2021'!O41+'Achalandage 2021'!O50+'Achalandage 2021'!O59+'Achalandage 2021'!O68+'Achalandage 2021'!O78+'Achalandage 2021'!O87+'Achalandage 2021'!O96+'Achalandage 2021'!O105+'Achalandage 2021'!O114+'Achalandage 2021'!O123+'Achalandage 2021'!O132+'Achalandage 2021'!O142+'Achalandage 2021'!O151+'Achalandage 2021'!O160+'Achalandage 2021'!O169+'Achalandage 2021'!O178+'Achalandage 2021'!O187+'Achalandage 2021'!O196+'Achalandage 2021'!O206+'Achalandage 2021'!O215+'Achalandage 2021'!O224+'Achalandage 2021'!O233+'Achalandage 2021'!O242+'Achalandage 2021'!O251+'Achalandage 2021'!O260+'Achalandage 2021'!O270+'Achalandage 2021'!O279+'Achalandage 2021'!O288+'Achalandage 2021'!O297+'Achalandage 2021'!O306+'Achalandage 2021'!O315+'Achalandage 2021'!O324+'Achalandage 2021'!O334+'Achalandage 2021'!O343+'Achalandage 2021'!O352+'Achalandage 2021'!O361+'Achalandage 2021'!O370+'Achalandage 2021'!O379+'Achalandage 2021'!O388</f>
        <v>855</v>
      </c>
      <c r="P14" s="67">
        <f t="shared" si="4"/>
        <v>7559</v>
      </c>
    </row>
    <row r="15" spans="2:16" x14ac:dyDescent="0.15">
      <c r="B15" s="101">
        <v>5</v>
      </c>
      <c r="C15" s="102" t="s">
        <v>7</v>
      </c>
      <c r="D15" s="70">
        <f>+'Achalandage 2021'!D15+'Achalandage 2021'!D24+'Achalandage 2021'!D33+'Achalandage 2021'!D42+'Achalandage 2021'!D51+'Achalandage 2021'!D60+'Achalandage 2021'!D69+'Achalandage 2021'!D79+'Achalandage 2021'!D88+'Achalandage 2021'!D97+'Achalandage 2021'!D106+'Achalandage 2021'!D115+'Achalandage 2021'!D124+'Achalandage 2021'!D133+'Achalandage 2021'!D143+'Achalandage 2021'!D152+'Achalandage 2021'!D161+'Achalandage 2021'!D170+'Achalandage 2021'!D179+'Achalandage 2021'!D188+'Achalandage 2021'!D197+'Achalandage 2021'!D207+'Achalandage 2021'!D216+'Achalandage 2021'!D225+'Achalandage 2021'!D234+'Achalandage 2021'!D243+'Achalandage 2021'!D252+'Achalandage 2021'!D261+'Achalandage 2021'!D271+'Achalandage 2021'!D280+'Achalandage 2021'!D289+'Achalandage 2021'!D298+'Achalandage 2021'!D307+'Achalandage 2021'!D316+'Achalandage 2021'!D325+'Achalandage 2021'!D335+'Achalandage 2021'!D344+'Achalandage 2021'!D353+'Achalandage 2021'!D362+'Achalandage 2021'!D371+'Achalandage 2021'!D380+'Achalandage 2021'!D389</f>
        <v>800</v>
      </c>
      <c r="E15" s="70">
        <f>+'Achalandage 2021'!E15+'Achalandage 2021'!E24+'Achalandage 2021'!E33+'Achalandage 2021'!E42+'Achalandage 2021'!E51+'Achalandage 2021'!E60+'Achalandage 2021'!E69+'Achalandage 2021'!E79+'Achalandage 2021'!E88+'Achalandage 2021'!E97+'Achalandage 2021'!E106+'Achalandage 2021'!E115+'Achalandage 2021'!E124+'Achalandage 2021'!E133+'Achalandage 2021'!E143+'Achalandage 2021'!E152+'Achalandage 2021'!E161+'Achalandage 2021'!E170+'Achalandage 2021'!E179+'Achalandage 2021'!E188+'Achalandage 2021'!E197+'Achalandage 2021'!E207+'Achalandage 2021'!E216+'Achalandage 2021'!E225+'Achalandage 2021'!E234+'Achalandage 2021'!E243+'Achalandage 2021'!E252+'Achalandage 2021'!E261+'Achalandage 2021'!E271+'Achalandage 2021'!E280+'Achalandage 2021'!E289+'Achalandage 2021'!E298+'Achalandage 2021'!E307+'Achalandage 2021'!E316+'Achalandage 2021'!E325+'Achalandage 2021'!E335+'Achalandage 2021'!E344+'Achalandage 2021'!E353+'Achalandage 2021'!E362+'Achalandage 2021'!E371+'Achalandage 2021'!E380+'Achalandage 2021'!E389</f>
        <v>273</v>
      </c>
      <c r="F15" s="70">
        <f>+'Achalandage 2021'!F15+'Achalandage 2021'!F24+'Achalandage 2021'!F33+'Achalandage 2021'!F42+'Achalandage 2021'!F51+'Achalandage 2021'!F60+'Achalandage 2021'!F69+'Achalandage 2021'!F79+'Achalandage 2021'!F88+'Achalandage 2021'!F97+'Achalandage 2021'!F106+'Achalandage 2021'!F115+'Achalandage 2021'!F124+'Achalandage 2021'!F133+'Achalandage 2021'!F143+'Achalandage 2021'!F152+'Achalandage 2021'!F161+'Achalandage 2021'!F170+'Achalandage 2021'!F179+'Achalandage 2021'!F188+'Achalandage 2021'!F197+'Achalandage 2021'!F207+'Achalandage 2021'!F216+'Achalandage 2021'!F225+'Achalandage 2021'!F234+'Achalandage 2021'!F243+'Achalandage 2021'!F252+'Achalandage 2021'!F261+'Achalandage 2021'!F271+'Achalandage 2021'!F280+'Achalandage 2021'!F289+'Achalandage 2021'!F298+'Achalandage 2021'!F307+'Achalandage 2021'!F316+'Achalandage 2021'!F325+'Achalandage 2021'!F335+'Achalandage 2021'!F344+'Achalandage 2021'!F353+'Achalandage 2021'!F362+'Achalandage 2021'!F371+'Achalandage 2021'!F380+'Achalandage 2021'!F389</f>
        <v>1085</v>
      </c>
      <c r="G15" s="70">
        <f>+'Achalandage 2021'!G15+'Achalandage 2021'!G24+'Achalandage 2021'!G33+'Achalandage 2021'!G42+'Achalandage 2021'!G51+'Achalandage 2021'!G60+'Achalandage 2021'!G69+'Achalandage 2021'!G79+'Achalandage 2021'!G88+'Achalandage 2021'!G97+'Achalandage 2021'!G106+'Achalandage 2021'!G115+'Achalandage 2021'!G124+'Achalandage 2021'!G133+'Achalandage 2021'!G143+'Achalandage 2021'!G152+'Achalandage 2021'!G161+'Achalandage 2021'!G170+'Achalandage 2021'!G179+'Achalandage 2021'!G188+'Achalandage 2021'!G197+'Achalandage 2021'!G207+'Achalandage 2021'!G216+'Achalandage 2021'!G225+'Achalandage 2021'!G234+'Achalandage 2021'!G243+'Achalandage 2021'!G252+'Achalandage 2021'!G261+'Achalandage 2021'!G271+'Achalandage 2021'!G280+'Achalandage 2021'!G289+'Achalandage 2021'!G298+'Achalandage 2021'!G307+'Achalandage 2021'!G316+'Achalandage 2021'!G325+'Achalandage 2021'!G335+'Achalandage 2021'!G344+'Achalandage 2021'!G353+'Achalandage 2021'!G362+'Achalandage 2021'!G371+'Achalandage 2021'!G380+'Achalandage 2021'!G389</f>
        <v>1190</v>
      </c>
      <c r="H15" s="70">
        <f>+'Achalandage 2021'!H15+'Achalandage 2021'!H24+'Achalandage 2021'!H33+'Achalandage 2021'!H42+'Achalandage 2021'!H51+'Achalandage 2021'!H60+'Achalandage 2021'!H69+'Achalandage 2021'!H79+'Achalandage 2021'!H88+'Achalandage 2021'!H97+'Achalandage 2021'!H106+'Achalandage 2021'!H115+'Achalandage 2021'!H124+'Achalandage 2021'!H133+'Achalandage 2021'!H143+'Achalandage 2021'!H152+'Achalandage 2021'!H161+'Achalandage 2021'!H170+'Achalandage 2021'!H179+'Achalandage 2021'!H188+'Achalandage 2021'!H197+'Achalandage 2021'!H207+'Achalandage 2021'!H216+'Achalandage 2021'!H225+'Achalandage 2021'!H234+'Achalandage 2021'!H243+'Achalandage 2021'!H252+'Achalandage 2021'!H261+'Achalandage 2021'!H271+'Achalandage 2021'!H280+'Achalandage 2021'!H289+'Achalandage 2021'!H298+'Achalandage 2021'!H307+'Achalandage 2021'!H316+'Achalandage 2021'!H325+'Achalandage 2021'!H335+'Achalandage 2021'!H344+'Achalandage 2021'!H353+'Achalandage 2021'!H362+'Achalandage 2021'!H371+'Achalandage 2021'!H380+'Achalandage 2021'!H389</f>
        <v>349</v>
      </c>
      <c r="I15" s="70">
        <f>+'Achalandage 2021'!I15+'Achalandage 2021'!I24+'Achalandage 2021'!I33+'Achalandage 2021'!I42+'Achalandage 2021'!I51+'Achalandage 2021'!I60+'Achalandage 2021'!I69+'Achalandage 2021'!I79+'Achalandage 2021'!I88+'Achalandage 2021'!I97+'Achalandage 2021'!I106+'Achalandage 2021'!I115+'Achalandage 2021'!I124+'Achalandage 2021'!I133+'Achalandage 2021'!I143+'Achalandage 2021'!I152+'Achalandage 2021'!I161+'Achalandage 2021'!I170+'Achalandage 2021'!I179+'Achalandage 2021'!I188+'Achalandage 2021'!I197+'Achalandage 2021'!I207+'Achalandage 2021'!I216+'Achalandage 2021'!I225+'Achalandage 2021'!I234+'Achalandage 2021'!I243+'Achalandage 2021'!I252+'Achalandage 2021'!I261+'Achalandage 2021'!I271+'Achalandage 2021'!I280+'Achalandage 2021'!I289+'Achalandage 2021'!I298+'Achalandage 2021'!I307+'Achalandage 2021'!I316+'Achalandage 2021'!I325+'Achalandage 2021'!I335+'Achalandage 2021'!I344+'Achalandage 2021'!I353+'Achalandage 2021'!I362+'Achalandage 2021'!I371+'Achalandage 2021'!I380+'Achalandage 2021'!I389</f>
        <v>1200</v>
      </c>
      <c r="J15" s="70">
        <f>+'Achalandage 2021'!J15+'Achalandage 2021'!J24+'Achalandage 2021'!J33+'Achalandage 2021'!J42+'Achalandage 2021'!J51+'Achalandage 2021'!J60+'Achalandage 2021'!J69+'Achalandage 2021'!J79+'Achalandage 2021'!J88+'Achalandage 2021'!J97+'Achalandage 2021'!J106+'Achalandage 2021'!J115+'Achalandage 2021'!J124+'Achalandage 2021'!J133+'Achalandage 2021'!J143+'Achalandage 2021'!J152+'Achalandage 2021'!J161+'Achalandage 2021'!J170+'Achalandage 2021'!J179+'Achalandage 2021'!J188+'Achalandage 2021'!J197+'Achalandage 2021'!J207+'Achalandage 2021'!J216+'Achalandage 2021'!J225+'Achalandage 2021'!J234+'Achalandage 2021'!J243+'Achalandage 2021'!J252+'Achalandage 2021'!J261+'Achalandage 2021'!J271+'Achalandage 2021'!J280+'Achalandage 2021'!J289+'Achalandage 2021'!J298+'Achalandage 2021'!J307+'Achalandage 2021'!J316+'Achalandage 2021'!J325+'Achalandage 2021'!J335+'Achalandage 2021'!J344+'Achalandage 2021'!J353+'Achalandage 2021'!J362+'Achalandage 2021'!J371+'Achalandage 2021'!J380+'Achalandage 2021'!J389</f>
        <v>526</v>
      </c>
      <c r="K15" s="70">
        <f>+'Achalandage 2021'!K15+'Achalandage 2021'!K24+'Achalandage 2021'!K33+'Achalandage 2021'!K42+'Achalandage 2021'!K51+'Achalandage 2021'!K60+'Achalandage 2021'!K69+'Achalandage 2021'!K79+'Achalandage 2021'!K88+'Achalandage 2021'!K97+'Achalandage 2021'!K106+'Achalandage 2021'!K115+'Achalandage 2021'!K124+'Achalandage 2021'!K133+'Achalandage 2021'!K143+'Achalandage 2021'!K152+'Achalandage 2021'!K161+'Achalandage 2021'!K170+'Achalandage 2021'!K179+'Achalandage 2021'!K188+'Achalandage 2021'!K197+'Achalandage 2021'!K207+'Achalandage 2021'!K216+'Achalandage 2021'!K225+'Achalandage 2021'!K234+'Achalandage 2021'!K243+'Achalandage 2021'!K252+'Achalandage 2021'!K261+'Achalandage 2021'!K271+'Achalandage 2021'!K280+'Achalandage 2021'!K289+'Achalandage 2021'!K298+'Achalandage 2021'!K307+'Achalandage 2021'!K316+'Achalandage 2021'!K325+'Achalandage 2021'!K335+'Achalandage 2021'!K344+'Achalandage 2021'!K353+'Achalandage 2021'!K362+'Achalandage 2021'!K371+'Achalandage 2021'!K380+'Achalandage 2021'!K389</f>
        <v>871</v>
      </c>
      <c r="L15" s="70">
        <f>+'Achalandage 2021'!L15+'Achalandage 2021'!L24+'Achalandage 2021'!L33+'Achalandage 2021'!L42+'Achalandage 2021'!L51+'Achalandage 2021'!L60+'Achalandage 2021'!L69+'Achalandage 2021'!L79+'Achalandage 2021'!L88+'Achalandage 2021'!L97+'Achalandage 2021'!L106+'Achalandage 2021'!L115+'Achalandage 2021'!L124+'Achalandage 2021'!L133+'Achalandage 2021'!L143+'Achalandage 2021'!L152+'Achalandage 2021'!L161+'Achalandage 2021'!L170+'Achalandage 2021'!L179+'Achalandage 2021'!L188+'Achalandage 2021'!L197+'Achalandage 2021'!L207+'Achalandage 2021'!L216+'Achalandage 2021'!L225+'Achalandage 2021'!L234+'Achalandage 2021'!L243+'Achalandage 2021'!L252+'Achalandage 2021'!L261+'Achalandage 2021'!L271+'Achalandage 2021'!L280+'Achalandage 2021'!L289+'Achalandage 2021'!L298+'Achalandage 2021'!L307+'Achalandage 2021'!L316+'Achalandage 2021'!L325+'Achalandage 2021'!L335+'Achalandage 2021'!L344+'Achalandage 2021'!L353+'Achalandage 2021'!L362+'Achalandage 2021'!L371+'Achalandage 2021'!L380+'Achalandage 2021'!L389</f>
        <v>750</v>
      </c>
      <c r="M15" s="70">
        <f>+'Achalandage 2021'!M15+'Achalandage 2021'!M24+'Achalandage 2021'!M33+'Achalandage 2021'!M42+'Achalandage 2021'!M51+'Achalandage 2021'!M60+'Achalandage 2021'!M69+'Achalandage 2021'!M79+'Achalandage 2021'!M88+'Achalandage 2021'!M97+'Achalandage 2021'!M106+'Achalandage 2021'!M115+'Achalandage 2021'!M124+'Achalandage 2021'!M133+'Achalandage 2021'!M143+'Achalandage 2021'!M152+'Achalandage 2021'!M161+'Achalandage 2021'!M170+'Achalandage 2021'!M179+'Achalandage 2021'!M188+'Achalandage 2021'!M197+'Achalandage 2021'!M207+'Achalandage 2021'!M216+'Achalandage 2021'!M225+'Achalandage 2021'!M234+'Achalandage 2021'!M243+'Achalandage 2021'!M252+'Achalandage 2021'!M261+'Achalandage 2021'!M271+'Achalandage 2021'!M280+'Achalandage 2021'!M289+'Achalandage 2021'!M298+'Achalandage 2021'!M307+'Achalandage 2021'!M316+'Achalandage 2021'!M325+'Achalandage 2021'!M335+'Achalandage 2021'!M344+'Achalandage 2021'!M353+'Achalandage 2021'!M362+'Achalandage 2021'!M371+'Achalandage 2021'!M380+'Achalandage 2021'!M389</f>
        <v>744</v>
      </c>
      <c r="N15" s="70">
        <f>+'Achalandage 2021'!N15+'Achalandage 2021'!N24+'Achalandage 2021'!N33+'Achalandage 2021'!N42+'Achalandage 2021'!N51+'Achalandage 2021'!N60+'Achalandage 2021'!N69+'Achalandage 2021'!N79+'Achalandage 2021'!N88+'Achalandage 2021'!N97+'Achalandage 2021'!N106+'Achalandage 2021'!N115+'Achalandage 2021'!N124+'Achalandage 2021'!N133+'Achalandage 2021'!N143+'Achalandage 2021'!N152+'Achalandage 2021'!N161+'Achalandage 2021'!N170+'Achalandage 2021'!N179+'Achalandage 2021'!N188+'Achalandage 2021'!N197+'Achalandage 2021'!N207+'Achalandage 2021'!N216+'Achalandage 2021'!N225+'Achalandage 2021'!N234+'Achalandage 2021'!N243+'Achalandage 2021'!N252+'Achalandage 2021'!N261+'Achalandage 2021'!N271+'Achalandage 2021'!N280+'Achalandage 2021'!N289+'Achalandage 2021'!N298+'Achalandage 2021'!N307+'Achalandage 2021'!N316+'Achalandage 2021'!N325+'Achalandage 2021'!N335+'Achalandage 2021'!N344+'Achalandage 2021'!N353+'Achalandage 2021'!N362+'Achalandage 2021'!N371+'Achalandage 2021'!N380+'Achalandage 2021'!N389</f>
        <v>747</v>
      </c>
      <c r="O15" s="70">
        <f>+'Achalandage 2021'!O15+'Achalandage 2021'!O24+'Achalandage 2021'!O33+'Achalandage 2021'!O42+'Achalandage 2021'!O51+'Achalandage 2021'!O60+'Achalandage 2021'!O69+'Achalandage 2021'!O79+'Achalandage 2021'!O88+'Achalandage 2021'!O97+'Achalandage 2021'!O106+'Achalandage 2021'!O115+'Achalandage 2021'!O124+'Achalandage 2021'!O133+'Achalandage 2021'!O143+'Achalandage 2021'!O152+'Achalandage 2021'!O161+'Achalandage 2021'!O170+'Achalandage 2021'!O179+'Achalandage 2021'!O188+'Achalandage 2021'!O197+'Achalandage 2021'!O207+'Achalandage 2021'!O216+'Achalandage 2021'!O225+'Achalandage 2021'!O234+'Achalandage 2021'!O243+'Achalandage 2021'!O252+'Achalandage 2021'!O261+'Achalandage 2021'!O271+'Achalandage 2021'!O280+'Achalandage 2021'!O289+'Achalandage 2021'!O298+'Achalandage 2021'!O307+'Achalandage 2021'!O316+'Achalandage 2021'!O325+'Achalandage 2021'!O335+'Achalandage 2021'!O344+'Achalandage 2021'!O353+'Achalandage 2021'!O362+'Achalandage 2021'!O371+'Achalandage 2021'!O380+'Achalandage 2021'!O389</f>
        <v>775</v>
      </c>
      <c r="P15" s="67">
        <f t="shared" si="4"/>
        <v>9310</v>
      </c>
    </row>
    <row r="16" spans="2:16" x14ac:dyDescent="0.15">
      <c r="B16" s="101">
        <v>6</v>
      </c>
      <c r="C16" s="102" t="s">
        <v>8</v>
      </c>
      <c r="D16" s="70">
        <f>+'Achalandage 2021'!D16+'Achalandage 2021'!D25+'Achalandage 2021'!D34+'Achalandage 2021'!D43+'Achalandage 2021'!D52+'Achalandage 2021'!D61+'Achalandage 2021'!D70+'Achalandage 2021'!D80+'Achalandage 2021'!D89+'Achalandage 2021'!D98+'Achalandage 2021'!D107+'Achalandage 2021'!D116+'Achalandage 2021'!D125+'Achalandage 2021'!D134+'Achalandage 2021'!D144+'Achalandage 2021'!D153+'Achalandage 2021'!D162+'Achalandage 2021'!D171+'Achalandage 2021'!D180+'Achalandage 2021'!D189+'Achalandage 2021'!D198+'Achalandage 2021'!D208+'Achalandage 2021'!D217+'Achalandage 2021'!D226+'Achalandage 2021'!D235+'Achalandage 2021'!D244+'Achalandage 2021'!D253+'Achalandage 2021'!D262+'Achalandage 2021'!D272+'Achalandage 2021'!D281+'Achalandage 2021'!D290+'Achalandage 2021'!D299+'Achalandage 2021'!D308+'Achalandage 2021'!D317+'Achalandage 2021'!D326+'Achalandage 2021'!D336+'Achalandage 2021'!D345+'Achalandage 2021'!D354+'Achalandage 2021'!D363+'Achalandage 2021'!D372+'Achalandage 2021'!D381+'Achalandage 2021'!D390</f>
        <v>360</v>
      </c>
      <c r="E16" s="70">
        <f>+'Achalandage 2021'!E16+'Achalandage 2021'!E25+'Achalandage 2021'!E34+'Achalandage 2021'!E43+'Achalandage 2021'!E52+'Achalandage 2021'!E61+'Achalandage 2021'!E70+'Achalandage 2021'!E80+'Achalandage 2021'!E89+'Achalandage 2021'!E98+'Achalandage 2021'!E107+'Achalandage 2021'!E116+'Achalandage 2021'!E125+'Achalandage 2021'!E134+'Achalandage 2021'!E144+'Achalandage 2021'!E153+'Achalandage 2021'!E162+'Achalandage 2021'!E171+'Achalandage 2021'!E180+'Achalandage 2021'!E189+'Achalandage 2021'!E198+'Achalandage 2021'!E208+'Achalandage 2021'!E217+'Achalandage 2021'!E226+'Achalandage 2021'!E235+'Achalandage 2021'!E244+'Achalandage 2021'!E253+'Achalandage 2021'!E262+'Achalandage 2021'!E272+'Achalandage 2021'!E281+'Achalandage 2021'!E290+'Achalandage 2021'!E299+'Achalandage 2021'!E308+'Achalandage 2021'!E317+'Achalandage 2021'!E326+'Achalandage 2021'!E336+'Achalandage 2021'!E345+'Achalandage 2021'!E354+'Achalandage 2021'!E363+'Achalandage 2021'!E372+'Achalandage 2021'!E381+'Achalandage 2021'!E390</f>
        <v>812</v>
      </c>
      <c r="F16" s="70">
        <f>+'Achalandage 2021'!F16+'Achalandage 2021'!F25+'Achalandage 2021'!F34+'Achalandage 2021'!F43+'Achalandage 2021'!F52+'Achalandage 2021'!F61+'Achalandage 2021'!F70+'Achalandage 2021'!F80+'Achalandage 2021'!F89+'Achalandage 2021'!F98+'Achalandage 2021'!F107+'Achalandage 2021'!F116+'Achalandage 2021'!F125+'Achalandage 2021'!F134+'Achalandage 2021'!F144+'Achalandage 2021'!F153+'Achalandage 2021'!F162+'Achalandage 2021'!F171+'Achalandage 2021'!F180+'Achalandage 2021'!F189+'Achalandage 2021'!F198+'Achalandage 2021'!F208+'Achalandage 2021'!F217+'Achalandage 2021'!F226+'Achalandage 2021'!F235+'Achalandage 2021'!F244+'Achalandage 2021'!F253+'Achalandage 2021'!F262+'Achalandage 2021'!F272+'Achalandage 2021'!F281+'Achalandage 2021'!F290+'Achalandage 2021'!F299+'Achalandage 2021'!F308+'Achalandage 2021'!F317+'Achalandage 2021'!F326+'Achalandage 2021'!F336+'Achalandage 2021'!F345+'Achalandage 2021'!F354+'Achalandage 2021'!F363+'Achalandage 2021'!F372+'Achalandage 2021'!F381+'Achalandage 2021'!F390</f>
        <v>589</v>
      </c>
      <c r="G16" s="70">
        <f>+'Achalandage 2021'!G16+'Achalandage 2021'!G25+'Achalandage 2021'!G34+'Achalandage 2021'!G43+'Achalandage 2021'!G52+'Achalandage 2021'!G61+'Achalandage 2021'!G70+'Achalandage 2021'!G80+'Achalandage 2021'!G89+'Achalandage 2021'!G98+'Achalandage 2021'!G107+'Achalandage 2021'!G116+'Achalandage 2021'!G125+'Achalandage 2021'!G134+'Achalandage 2021'!G144+'Achalandage 2021'!G153+'Achalandage 2021'!G162+'Achalandage 2021'!G171+'Achalandage 2021'!G180+'Achalandage 2021'!G189+'Achalandage 2021'!G198+'Achalandage 2021'!G208+'Achalandage 2021'!G217+'Achalandage 2021'!G226+'Achalandage 2021'!G235+'Achalandage 2021'!G244+'Achalandage 2021'!G253+'Achalandage 2021'!G262+'Achalandage 2021'!G272+'Achalandage 2021'!G281+'Achalandage 2021'!G290+'Achalandage 2021'!G299+'Achalandage 2021'!G308+'Achalandage 2021'!G317+'Achalandage 2021'!G326+'Achalandage 2021'!G336+'Achalandage 2021'!G345+'Achalandage 2021'!G354+'Achalandage 2021'!G363+'Achalandage 2021'!G372+'Achalandage 2021'!G381+'Achalandage 2021'!G390</f>
        <v>330</v>
      </c>
      <c r="H16" s="70">
        <f>+'Achalandage 2021'!H16+'Achalandage 2021'!H25+'Achalandage 2021'!H34+'Achalandage 2021'!H43+'Achalandage 2021'!H52+'Achalandage 2021'!H61+'Achalandage 2021'!H70+'Achalandage 2021'!H80+'Achalandage 2021'!H89+'Achalandage 2021'!H98+'Achalandage 2021'!H107+'Achalandage 2021'!H116+'Achalandage 2021'!H125+'Achalandage 2021'!H134+'Achalandage 2021'!H144+'Achalandage 2021'!H153+'Achalandage 2021'!H162+'Achalandage 2021'!H171+'Achalandage 2021'!H180+'Achalandage 2021'!H189+'Achalandage 2021'!H198+'Achalandage 2021'!H208+'Achalandage 2021'!H217+'Achalandage 2021'!H226+'Achalandage 2021'!H235+'Achalandage 2021'!H244+'Achalandage 2021'!H253+'Achalandage 2021'!H262+'Achalandage 2021'!H272+'Achalandage 2021'!H281+'Achalandage 2021'!H290+'Achalandage 2021'!H299+'Achalandage 2021'!H308+'Achalandage 2021'!H317+'Achalandage 2021'!H326+'Achalandage 2021'!H336+'Achalandage 2021'!H345+'Achalandage 2021'!H354+'Achalandage 2021'!H363+'Achalandage 2021'!H372+'Achalandage 2021'!H381+'Achalandage 2021'!H390</f>
        <v>310</v>
      </c>
      <c r="I16" s="70">
        <f>+'Achalandage 2021'!I16+'Achalandage 2021'!I25+'Achalandage 2021'!I34+'Achalandage 2021'!I43+'Achalandage 2021'!I52+'Achalandage 2021'!I61+'Achalandage 2021'!I70+'Achalandage 2021'!I80+'Achalandage 2021'!I89+'Achalandage 2021'!I98+'Achalandage 2021'!I107+'Achalandage 2021'!I116+'Achalandage 2021'!I125+'Achalandage 2021'!I134+'Achalandage 2021'!I144+'Achalandage 2021'!I153+'Achalandage 2021'!I162+'Achalandage 2021'!I171+'Achalandage 2021'!I180+'Achalandage 2021'!I189+'Achalandage 2021'!I198+'Achalandage 2021'!I208+'Achalandage 2021'!I217+'Achalandage 2021'!I226+'Achalandage 2021'!I235+'Achalandage 2021'!I244+'Achalandage 2021'!I253+'Achalandage 2021'!I262+'Achalandage 2021'!I272+'Achalandage 2021'!I281+'Achalandage 2021'!I290+'Achalandage 2021'!I299+'Achalandage 2021'!I308+'Achalandage 2021'!I317+'Achalandage 2021'!I326+'Achalandage 2021'!I336+'Achalandage 2021'!I345+'Achalandage 2021'!I354+'Achalandage 2021'!I363+'Achalandage 2021'!I372+'Achalandage 2021'!I381+'Achalandage 2021'!I390</f>
        <v>462</v>
      </c>
      <c r="J16" s="70">
        <f>+'Achalandage 2021'!J16+'Achalandage 2021'!J25+'Achalandage 2021'!J34+'Achalandage 2021'!J43+'Achalandage 2021'!J52+'Achalandage 2021'!J61+'Achalandage 2021'!J70+'Achalandage 2021'!J80+'Achalandage 2021'!J89+'Achalandage 2021'!J98+'Achalandage 2021'!J107+'Achalandage 2021'!J116+'Achalandage 2021'!J125+'Achalandage 2021'!J134+'Achalandage 2021'!J144+'Achalandage 2021'!J153+'Achalandage 2021'!J162+'Achalandage 2021'!J171+'Achalandage 2021'!J180+'Achalandage 2021'!J189+'Achalandage 2021'!J198+'Achalandage 2021'!J208+'Achalandage 2021'!J217+'Achalandage 2021'!J226+'Achalandage 2021'!J235+'Achalandage 2021'!J244+'Achalandage 2021'!J253+'Achalandage 2021'!J262+'Achalandage 2021'!J272+'Achalandage 2021'!J281+'Achalandage 2021'!J290+'Achalandage 2021'!J299+'Achalandage 2021'!J308+'Achalandage 2021'!J317+'Achalandage 2021'!J326+'Achalandage 2021'!J336+'Achalandage 2021'!J345+'Achalandage 2021'!J354+'Achalandage 2021'!J363+'Achalandage 2021'!J372+'Achalandage 2021'!J381+'Achalandage 2021'!J390</f>
        <v>1230</v>
      </c>
      <c r="K16" s="70">
        <f>+'Achalandage 2021'!K16+'Achalandage 2021'!K25+'Achalandage 2021'!K34+'Achalandage 2021'!K43+'Achalandage 2021'!K52+'Achalandage 2021'!K61+'Achalandage 2021'!K70+'Achalandage 2021'!K80+'Achalandage 2021'!K89+'Achalandage 2021'!K98+'Achalandage 2021'!K107+'Achalandage 2021'!K116+'Achalandage 2021'!K125+'Achalandage 2021'!K134+'Achalandage 2021'!K144+'Achalandage 2021'!K153+'Achalandage 2021'!K162+'Achalandage 2021'!K171+'Achalandage 2021'!K180+'Achalandage 2021'!K189+'Achalandage 2021'!K198+'Achalandage 2021'!K208+'Achalandage 2021'!K217+'Achalandage 2021'!K226+'Achalandage 2021'!K235+'Achalandage 2021'!K244+'Achalandage 2021'!K253+'Achalandage 2021'!K262+'Achalandage 2021'!K272+'Achalandage 2021'!K281+'Achalandage 2021'!K290+'Achalandage 2021'!K299+'Achalandage 2021'!K308+'Achalandage 2021'!K317+'Achalandage 2021'!K326+'Achalandage 2021'!K336+'Achalandage 2021'!K345+'Achalandage 2021'!K354+'Achalandage 2021'!K363+'Achalandage 2021'!K372+'Achalandage 2021'!K381+'Achalandage 2021'!K390</f>
        <v>651</v>
      </c>
      <c r="L16" s="70">
        <f>+'Achalandage 2021'!L16+'Achalandage 2021'!L25+'Achalandage 2021'!L34+'Achalandage 2021'!L43+'Achalandage 2021'!L52+'Achalandage 2021'!L61+'Achalandage 2021'!L70+'Achalandage 2021'!L80+'Achalandage 2021'!L89+'Achalandage 2021'!L98+'Achalandage 2021'!L107+'Achalandage 2021'!L116+'Achalandage 2021'!L125+'Achalandage 2021'!L134+'Achalandage 2021'!L144+'Achalandage 2021'!L153+'Achalandage 2021'!L162+'Achalandage 2021'!L171+'Achalandage 2021'!L180+'Achalandage 2021'!L189+'Achalandage 2021'!L198+'Achalandage 2021'!L208+'Achalandage 2021'!L217+'Achalandage 2021'!L226+'Achalandage 2021'!L235+'Achalandage 2021'!L244+'Achalandage 2021'!L253+'Achalandage 2021'!L262+'Achalandage 2021'!L272+'Achalandage 2021'!L281+'Achalandage 2021'!L290+'Achalandage 2021'!L299+'Achalandage 2021'!L308+'Achalandage 2021'!L317+'Achalandage 2021'!L326+'Achalandage 2021'!L336+'Achalandage 2021'!L345+'Achalandage 2021'!L354+'Achalandage 2021'!L363+'Achalandage 2021'!L372+'Achalandage 2021'!L381+'Achalandage 2021'!L390</f>
        <v>750</v>
      </c>
      <c r="M16" s="70">
        <f>+'Achalandage 2021'!M16+'Achalandage 2021'!M25+'Achalandage 2021'!M34+'Achalandage 2021'!M43+'Achalandage 2021'!M52+'Achalandage 2021'!M61+'Achalandage 2021'!M70+'Achalandage 2021'!M80+'Achalandage 2021'!M89+'Achalandage 2021'!M98+'Achalandage 2021'!M107+'Achalandage 2021'!M116+'Achalandage 2021'!M125+'Achalandage 2021'!M134+'Achalandage 2021'!M144+'Achalandage 2021'!M153+'Achalandage 2021'!M162+'Achalandage 2021'!M171+'Achalandage 2021'!M180+'Achalandage 2021'!M189+'Achalandage 2021'!M198+'Achalandage 2021'!M208+'Achalandage 2021'!M217+'Achalandage 2021'!M226+'Achalandage 2021'!M235+'Achalandage 2021'!M244+'Achalandage 2021'!M253+'Achalandage 2021'!M262+'Achalandage 2021'!M272+'Achalandage 2021'!M281+'Achalandage 2021'!M290+'Achalandage 2021'!M299+'Achalandage 2021'!M308+'Achalandage 2021'!M317+'Achalandage 2021'!M326+'Achalandage 2021'!M336+'Achalandage 2021'!M345+'Achalandage 2021'!M354+'Achalandage 2021'!M363+'Achalandage 2021'!M372+'Achalandage 2021'!M381+'Achalandage 2021'!M390</f>
        <v>744</v>
      </c>
      <c r="N16" s="70">
        <f>+'Achalandage 2021'!N16+'Achalandage 2021'!N25+'Achalandage 2021'!N34+'Achalandage 2021'!N43+'Achalandage 2021'!N52+'Achalandage 2021'!N61+'Achalandage 2021'!N70+'Achalandage 2021'!N80+'Achalandage 2021'!N89+'Achalandage 2021'!N98+'Achalandage 2021'!N107+'Achalandage 2021'!N116+'Achalandage 2021'!N125+'Achalandage 2021'!N134+'Achalandage 2021'!N144+'Achalandage 2021'!N153+'Achalandage 2021'!N162+'Achalandage 2021'!N171+'Achalandage 2021'!N180+'Achalandage 2021'!N189+'Achalandage 2021'!N198+'Achalandage 2021'!N208+'Achalandage 2021'!N217+'Achalandage 2021'!N226+'Achalandage 2021'!N235+'Achalandage 2021'!N244+'Achalandage 2021'!N253+'Achalandage 2021'!N262+'Achalandage 2021'!N272+'Achalandage 2021'!N281+'Achalandage 2021'!N290+'Achalandage 2021'!N299+'Achalandage 2021'!N308+'Achalandage 2021'!N317+'Achalandage 2021'!N326+'Achalandage 2021'!N336+'Achalandage 2021'!N345+'Achalandage 2021'!N354+'Achalandage 2021'!N363+'Achalandage 2021'!N372+'Achalandage 2021'!N381+'Achalandage 2021'!N390</f>
        <v>657</v>
      </c>
      <c r="O16" s="70">
        <f>+'Achalandage 2021'!O16+'Achalandage 2021'!O25+'Achalandage 2021'!O34+'Achalandage 2021'!O43+'Achalandage 2021'!O52+'Achalandage 2021'!O61+'Achalandage 2021'!O70+'Achalandage 2021'!O80+'Achalandage 2021'!O89+'Achalandage 2021'!O98+'Achalandage 2021'!O107+'Achalandage 2021'!O116+'Achalandage 2021'!O125+'Achalandage 2021'!O134+'Achalandage 2021'!O144+'Achalandage 2021'!O153+'Achalandage 2021'!O162+'Achalandage 2021'!O171+'Achalandage 2021'!O180+'Achalandage 2021'!O189+'Achalandage 2021'!O198+'Achalandage 2021'!O208+'Achalandage 2021'!O217+'Achalandage 2021'!O226+'Achalandage 2021'!O235+'Achalandage 2021'!O244+'Achalandage 2021'!O253+'Achalandage 2021'!O262+'Achalandage 2021'!O272+'Achalandage 2021'!O281+'Achalandage 2021'!O290+'Achalandage 2021'!O299+'Achalandage 2021'!O308+'Achalandage 2021'!O317+'Achalandage 2021'!O326+'Achalandage 2021'!O336+'Achalandage 2021'!O345+'Achalandage 2021'!O354+'Achalandage 2021'!O363+'Achalandage 2021'!O372+'Achalandage 2021'!O381+'Achalandage 2021'!O390</f>
        <v>772</v>
      </c>
      <c r="P16" s="67">
        <f t="shared" si="4"/>
        <v>7667</v>
      </c>
    </row>
    <row r="17" spans="2:16" x14ac:dyDescent="0.15">
      <c r="B17" s="101">
        <v>7</v>
      </c>
      <c r="C17" s="102" t="s">
        <v>9</v>
      </c>
      <c r="D17" s="70">
        <f>+'Achalandage 2021'!D17+'Achalandage 2021'!D26+'Achalandage 2021'!D35+'Achalandage 2021'!D44+'Achalandage 2021'!D53+'Achalandage 2021'!D62+'Achalandage 2021'!D71+'Achalandage 2021'!D81+'Achalandage 2021'!D90+'Achalandage 2021'!D99+'Achalandage 2021'!D108+'Achalandage 2021'!D117+'Achalandage 2021'!D126+'Achalandage 2021'!D135+'Achalandage 2021'!D145+'Achalandage 2021'!D154+'Achalandage 2021'!D163+'Achalandage 2021'!D172+'Achalandage 2021'!D181+'Achalandage 2021'!D190+'Achalandage 2021'!D199+'Achalandage 2021'!D209+'Achalandage 2021'!D218+'Achalandage 2021'!D227+'Achalandage 2021'!D236+'Achalandage 2021'!D245+'Achalandage 2021'!D254+'Achalandage 2021'!D263+'Achalandage 2021'!D273+'Achalandage 2021'!D282+'Achalandage 2021'!D291+'Achalandage 2021'!D300+'Achalandage 2021'!D309+'Achalandage 2021'!D318+'Achalandage 2021'!D327+'Achalandage 2021'!D337+'Achalandage 2021'!D346+'Achalandage 2021'!D355+'Achalandage 2021'!D364+'Achalandage 2021'!D373+'Achalandage 2021'!D382+'Achalandage 2021'!D391</f>
        <v>0</v>
      </c>
      <c r="E17" s="70">
        <f>+'Achalandage 2021'!E17+'Achalandage 2021'!E26+'Achalandage 2021'!E35+'Achalandage 2021'!E44+'Achalandage 2021'!E53+'Achalandage 2021'!E62+'Achalandage 2021'!E71+'Achalandage 2021'!E81+'Achalandage 2021'!E90+'Achalandage 2021'!E99+'Achalandage 2021'!E108+'Achalandage 2021'!E117+'Achalandage 2021'!E126+'Achalandage 2021'!E135+'Achalandage 2021'!E145+'Achalandage 2021'!E154+'Achalandage 2021'!E163+'Achalandage 2021'!E172+'Achalandage 2021'!E181+'Achalandage 2021'!E190+'Achalandage 2021'!E199+'Achalandage 2021'!E209+'Achalandage 2021'!E218+'Achalandage 2021'!E227+'Achalandage 2021'!E236+'Achalandage 2021'!E245+'Achalandage 2021'!E254+'Achalandage 2021'!E263+'Achalandage 2021'!E273+'Achalandage 2021'!E282+'Achalandage 2021'!E291+'Achalandage 2021'!E300+'Achalandage 2021'!E309+'Achalandage 2021'!E318+'Achalandage 2021'!E327+'Achalandage 2021'!E337+'Achalandage 2021'!E346+'Achalandage 2021'!E355+'Achalandage 2021'!E364+'Achalandage 2021'!E373+'Achalandage 2021'!E382+'Achalandage 2021'!E391</f>
        <v>0</v>
      </c>
      <c r="F17" s="70">
        <f>+'Achalandage 2021'!F17+'Achalandage 2021'!F26+'Achalandage 2021'!F35+'Achalandage 2021'!F44+'Achalandage 2021'!F53+'Achalandage 2021'!F62+'Achalandage 2021'!F71+'Achalandage 2021'!F81+'Achalandage 2021'!F90+'Achalandage 2021'!F99+'Achalandage 2021'!F108+'Achalandage 2021'!F117+'Achalandage 2021'!F126+'Achalandage 2021'!F135+'Achalandage 2021'!F145+'Achalandage 2021'!F154+'Achalandage 2021'!F163+'Achalandage 2021'!F172+'Achalandage 2021'!F181+'Achalandage 2021'!F190+'Achalandage 2021'!F199+'Achalandage 2021'!F209+'Achalandage 2021'!F218+'Achalandage 2021'!F227+'Achalandage 2021'!F236+'Achalandage 2021'!F245+'Achalandage 2021'!F254+'Achalandage 2021'!F263+'Achalandage 2021'!F273+'Achalandage 2021'!F282+'Achalandage 2021'!F291+'Achalandage 2021'!F300+'Achalandage 2021'!F309+'Achalandage 2021'!F318+'Achalandage 2021'!F327+'Achalandage 2021'!F337+'Achalandage 2021'!F346+'Achalandage 2021'!F355+'Achalandage 2021'!F364+'Achalandage 2021'!F373+'Achalandage 2021'!F382+'Achalandage 2021'!F391</f>
        <v>0</v>
      </c>
      <c r="G17" s="70">
        <f>+'Achalandage 2021'!G17+'Achalandage 2021'!G26+'Achalandage 2021'!G35+'Achalandage 2021'!G44+'Achalandage 2021'!G53+'Achalandage 2021'!G62+'Achalandage 2021'!G71+'Achalandage 2021'!G81+'Achalandage 2021'!G90+'Achalandage 2021'!G99+'Achalandage 2021'!G108+'Achalandage 2021'!G117+'Achalandage 2021'!G126+'Achalandage 2021'!G135+'Achalandage 2021'!G145+'Achalandage 2021'!G154+'Achalandage 2021'!G163+'Achalandage 2021'!G172+'Achalandage 2021'!G181+'Achalandage 2021'!G190+'Achalandage 2021'!G199+'Achalandage 2021'!G209+'Achalandage 2021'!G218+'Achalandage 2021'!G227+'Achalandage 2021'!G236+'Achalandage 2021'!G245+'Achalandage 2021'!G254+'Achalandage 2021'!G263+'Achalandage 2021'!G273+'Achalandage 2021'!G282+'Achalandage 2021'!G291+'Achalandage 2021'!G300+'Achalandage 2021'!G309+'Achalandage 2021'!G318+'Achalandage 2021'!G327+'Achalandage 2021'!G337+'Achalandage 2021'!G346+'Achalandage 2021'!G355+'Achalandage 2021'!G364+'Achalandage 2021'!G373+'Achalandage 2021'!G382+'Achalandage 2021'!G391</f>
        <v>0</v>
      </c>
      <c r="H17" s="70">
        <f>+'Achalandage 2021'!H17+'Achalandage 2021'!H26+'Achalandage 2021'!H35+'Achalandage 2021'!H44+'Achalandage 2021'!H53+'Achalandage 2021'!H62+'Achalandage 2021'!H71+'Achalandage 2021'!H81+'Achalandage 2021'!H90+'Achalandage 2021'!H99+'Achalandage 2021'!H108+'Achalandage 2021'!H117+'Achalandage 2021'!H126+'Achalandage 2021'!H135+'Achalandage 2021'!H145+'Achalandage 2021'!H154+'Achalandage 2021'!H163+'Achalandage 2021'!H172+'Achalandage 2021'!H181+'Achalandage 2021'!H190+'Achalandage 2021'!H199+'Achalandage 2021'!H209+'Achalandage 2021'!H218+'Achalandage 2021'!H227+'Achalandage 2021'!H236+'Achalandage 2021'!H245+'Achalandage 2021'!H254+'Achalandage 2021'!H263+'Achalandage 2021'!H273+'Achalandage 2021'!H282+'Achalandage 2021'!H291+'Achalandage 2021'!H300+'Achalandage 2021'!H309+'Achalandage 2021'!H318+'Achalandage 2021'!H327+'Achalandage 2021'!H337+'Achalandage 2021'!H346+'Achalandage 2021'!H355+'Achalandage 2021'!H364+'Achalandage 2021'!H373+'Achalandage 2021'!H382+'Achalandage 2021'!H391</f>
        <v>0</v>
      </c>
      <c r="I17" s="70">
        <f>+'Achalandage 2021'!I17+'Achalandage 2021'!I26+'Achalandage 2021'!I35+'Achalandage 2021'!I44+'Achalandage 2021'!I53+'Achalandage 2021'!I62+'Achalandage 2021'!I71+'Achalandage 2021'!I81+'Achalandage 2021'!I90+'Achalandage 2021'!I99+'Achalandage 2021'!I108+'Achalandage 2021'!I117+'Achalandage 2021'!I126+'Achalandage 2021'!I135+'Achalandage 2021'!I145+'Achalandage 2021'!I154+'Achalandage 2021'!I163+'Achalandage 2021'!I172+'Achalandage 2021'!I181+'Achalandage 2021'!I190+'Achalandage 2021'!I199+'Achalandage 2021'!I209+'Achalandage 2021'!I218+'Achalandage 2021'!I227+'Achalandage 2021'!I236+'Achalandage 2021'!I245+'Achalandage 2021'!I254+'Achalandage 2021'!I263+'Achalandage 2021'!I273+'Achalandage 2021'!I282+'Achalandage 2021'!I291+'Achalandage 2021'!I300+'Achalandage 2021'!I309+'Achalandage 2021'!I318+'Achalandage 2021'!I327+'Achalandage 2021'!I337+'Achalandage 2021'!I346+'Achalandage 2021'!I355+'Achalandage 2021'!I364+'Achalandage 2021'!I373+'Achalandage 2021'!I382+'Achalandage 2021'!I391</f>
        <v>0</v>
      </c>
      <c r="J17" s="70">
        <f>+'Achalandage 2021'!J17+'Achalandage 2021'!J26+'Achalandage 2021'!J35+'Achalandage 2021'!J44+'Achalandage 2021'!J53+'Achalandage 2021'!J62+'Achalandage 2021'!J71+'Achalandage 2021'!J81+'Achalandage 2021'!J90+'Achalandage 2021'!J99+'Achalandage 2021'!J108+'Achalandage 2021'!J117+'Achalandage 2021'!J126+'Achalandage 2021'!J135+'Achalandage 2021'!J145+'Achalandage 2021'!J154+'Achalandage 2021'!J163+'Achalandage 2021'!J172+'Achalandage 2021'!J181+'Achalandage 2021'!J190+'Achalandage 2021'!J199+'Achalandage 2021'!J209+'Achalandage 2021'!J218+'Achalandage 2021'!J227+'Achalandage 2021'!J236+'Achalandage 2021'!J245+'Achalandage 2021'!J254+'Achalandage 2021'!J263+'Achalandage 2021'!J273+'Achalandage 2021'!J282+'Achalandage 2021'!J291+'Achalandage 2021'!J300+'Achalandage 2021'!J309+'Achalandage 2021'!J318+'Achalandage 2021'!J327+'Achalandage 2021'!J337+'Achalandage 2021'!J346+'Achalandage 2021'!J355+'Achalandage 2021'!J364+'Achalandage 2021'!J373+'Achalandage 2021'!J382+'Achalandage 2021'!J391</f>
        <v>0</v>
      </c>
      <c r="K17" s="70">
        <f>+'Achalandage 2021'!K17+'Achalandage 2021'!K26+'Achalandage 2021'!K35+'Achalandage 2021'!K44+'Achalandage 2021'!K53+'Achalandage 2021'!K62+'Achalandage 2021'!K71+'Achalandage 2021'!K81+'Achalandage 2021'!K90+'Achalandage 2021'!K99+'Achalandage 2021'!K108+'Achalandage 2021'!K117+'Achalandage 2021'!K126+'Achalandage 2021'!K135+'Achalandage 2021'!K145+'Achalandage 2021'!K154+'Achalandage 2021'!K163+'Achalandage 2021'!K172+'Achalandage 2021'!K181+'Achalandage 2021'!K190+'Achalandage 2021'!K199+'Achalandage 2021'!K209+'Achalandage 2021'!K218+'Achalandage 2021'!K227+'Achalandage 2021'!K236+'Achalandage 2021'!K245+'Achalandage 2021'!K254+'Achalandage 2021'!K263+'Achalandage 2021'!K273+'Achalandage 2021'!K282+'Achalandage 2021'!K291+'Achalandage 2021'!K300+'Achalandage 2021'!K309+'Achalandage 2021'!K318+'Achalandage 2021'!K327+'Achalandage 2021'!K337+'Achalandage 2021'!K346+'Achalandage 2021'!K355+'Achalandage 2021'!K364+'Achalandage 2021'!K373+'Achalandage 2021'!K382+'Achalandage 2021'!K391</f>
        <v>0</v>
      </c>
      <c r="L17" s="70">
        <f>+'Achalandage 2021'!L17+'Achalandage 2021'!L26+'Achalandage 2021'!L35+'Achalandage 2021'!L44+'Achalandage 2021'!L53+'Achalandage 2021'!L62+'Achalandage 2021'!L71+'Achalandage 2021'!L81+'Achalandage 2021'!L90+'Achalandage 2021'!L99+'Achalandage 2021'!L108+'Achalandage 2021'!L117+'Achalandage 2021'!L126+'Achalandage 2021'!L135+'Achalandage 2021'!L145+'Achalandage 2021'!L154+'Achalandage 2021'!L163+'Achalandage 2021'!L172+'Achalandage 2021'!L181+'Achalandage 2021'!L190+'Achalandage 2021'!L199+'Achalandage 2021'!L209+'Achalandage 2021'!L218+'Achalandage 2021'!L227+'Achalandage 2021'!L236+'Achalandage 2021'!L245+'Achalandage 2021'!L254+'Achalandage 2021'!L263+'Achalandage 2021'!L273+'Achalandage 2021'!L282+'Achalandage 2021'!L291+'Achalandage 2021'!L300+'Achalandage 2021'!L309+'Achalandage 2021'!L318+'Achalandage 2021'!L327+'Achalandage 2021'!L337+'Achalandage 2021'!L346+'Achalandage 2021'!L355+'Achalandage 2021'!L364+'Achalandage 2021'!L373+'Achalandage 2021'!L382+'Achalandage 2021'!L391</f>
        <v>0</v>
      </c>
      <c r="M17" s="70">
        <f>+'Achalandage 2021'!M17+'Achalandage 2021'!M26+'Achalandage 2021'!M35+'Achalandage 2021'!M44+'Achalandage 2021'!M53+'Achalandage 2021'!M62+'Achalandage 2021'!M71+'Achalandage 2021'!M81+'Achalandage 2021'!M90+'Achalandage 2021'!M99+'Achalandage 2021'!M108+'Achalandage 2021'!M117+'Achalandage 2021'!M126+'Achalandage 2021'!M135+'Achalandage 2021'!M145+'Achalandage 2021'!M154+'Achalandage 2021'!M163+'Achalandage 2021'!M172+'Achalandage 2021'!M181+'Achalandage 2021'!M190+'Achalandage 2021'!M199+'Achalandage 2021'!M209+'Achalandage 2021'!M218+'Achalandage 2021'!M227+'Achalandage 2021'!M236+'Achalandage 2021'!M245+'Achalandage 2021'!M254+'Achalandage 2021'!M263+'Achalandage 2021'!M273+'Achalandage 2021'!M282+'Achalandage 2021'!M291+'Achalandage 2021'!M300+'Achalandage 2021'!M309+'Achalandage 2021'!M318+'Achalandage 2021'!M327+'Achalandage 2021'!M337+'Achalandage 2021'!M346+'Achalandage 2021'!M355+'Achalandage 2021'!M364+'Achalandage 2021'!M373+'Achalandage 2021'!M382+'Achalandage 2021'!M391</f>
        <v>0</v>
      </c>
      <c r="N17" s="70">
        <f>+'Achalandage 2021'!N17+'Achalandage 2021'!N26+'Achalandage 2021'!N35+'Achalandage 2021'!N44+'Achalandage 2021'!N53+'Achalandage 2021'!N62+'Achalandage 2021'!N71+'Achalandage 2021'!N81+'Achalandage 2021'!N90+'Achalandage 2021'!N99+'Achalandage 2021'!N108+'Achalandage 2021'!N117+'Achalandage 2021'!N126+'Achalandage 2021'!N135+'Achalandage 2021'!N145+'Achalandage 2021'!N154+'Achalandage 2021'!N163+'Achalandage 2021'!N172+'Achalandage 2021'!N181+'Achalandage 2021'!N190+'Achalandage 2021'!N199+'Achalandage 2021'!N209+'Achalandage 2021'!N218+'Achalandage 2021'!N227+'Achalandage 2021'!N236+'Achalandage 2021'!N245+'Achalandage 2021'!N254+'Achalandage 2021'!N263+'Achalandage 2021'!N273+'Achalandage 2021'!N282+'Achalandage 2021'!N291+'Achalandage 2021'!N300+'Achalandage 2021'!N309+'Achalandage 2021'!N318+'Achalandage 2021'!N327+'Achalandage 2021'!N337+'Achalandage 2021'!N346+'Achalandage 2021'!N355+'Achalandage 2021'!N364+'Achalandage 2021'!N373+'Achalandage 2021'!N382+'Achalandage 2021'!N391</f>
        <v>0</v>
      </c>
      <c r="O17" s="70">
        <f>+'Achalandage 2021'!O17+'Achalandage 2021'!O26+'Achalandage 2021'!O35+'Achalandage 2021'!O44+'Achalandage 2021'!O53+'Achalandage 2021'!O62+'Achalandage 2021'!O71+'Achalandage 2021'!O81+'Achalandage 2021'!O90+'Achalandage 2021'!O99+'Achalandage 2021'!O108+'Achalandage 2021'!O117+'Achalandage 2021'!O126+'Achalandage 2021'!O135+'Achalandage 2021'!O145+'Achalandage 2021'!O154+'Achalandage 2021'!O163+'Achalandage 2021'!O172+'Achalandage 2021'!O181+'Achalandage 2021'!O190+'Achalandage 2021'!O199+'Achalandage 2021'!O209+'Achalandage 2021'!O218+'Achalandage 2021'!O227+'Achalandage 2021'!O236+'Achalandage 2021'!O245+'Achalandage 2021'!O254+'Achalandage 2021'!O263+'Achalandage 2021'!O273+'Achalandage 2021'!O282+'Achalandage 2021'!O291+'Achalandage 2021'!O300+'Achalandage 2021'!O309+'Achalandage 2021'!O318+'Achalandage 2021'!O327+'Achalandage 2021'!O337+'Achalandage 2021'!O346+'Achalandage 2021'!O355+'Achalandage 2021'!O364+'Achalandage 2021'!O373+'Achalandage 2021'!O382+'Achalandage 2021'!O391</f>
        <v>0</v>
      </c>
      <c r="P17" s="67">
        <f t="shared" si="4"/>
        <v>0</v>
      </c>
    </row>
    <row r="18" spans="2:16" ht="14" thickBot="1" x14ac:dyDescent="0.2">
      <c r="B18" s="103"/>
      <c r="C18" s="104" t="s">
        <v>10</v>
      </c>
      <c r="D18" s="65">
        <f t="shared" ref="D18:P18" si="5">+D11+D12+D13+D14+D15+D16+D17</f>
        <v>3808</v>
      </c>
      <c r="E18" s="65">
        <f t="shared" si="5"/>
        <v>3691</v>
      </c>
      <c r="F18" s="65">
        <f t="shared" si="5"/>
        <v>4113</v>
      </c>
      <c r="G18" s="65">
        <f t="shared" si="5"/>
        <v>4161</v>
      </c>
      <c r="H18" s="65">
        <f t="shared" si="5"/>
        <v>4480</v>
      </c>
      <c r="I18" s="65">
        <f t="shared" si="5"/>
        <v>4604</v>
      </c>
      <c r="J18" s="65">
        <f t="shared" si="5"/>
        <v>4773</v>
      </c>
      <c r="K18" s="65">
        <f t="shared" si="5"/>
        <v>4836</v>
      </c>
      <c r="L18" s="65">
        <f t="shared" si="5"/>
        <v>4422</v>
      </c>
      <c r="M18" s="65">
        <f t="shared" si="5"/>
        <v>4426</v>
      </c>
      <c r="N18" s="65">
        <f t="shared" si="5"/>
        <v>4114</v>
      </c>
      <c r="O18" s="65">
        <f t="shared" si="5"/>
        <v>4572</v>
      </c>
      <c r="P18" s="68">
        <f t="shared" si="5"/>
        <v>52000</v>
      </c>
    </row>
    <row r="19" spans="2:16" ht="15" thickTop="1" thickBot="1" x14ac:dyDescent="0.2">
      <c r="B19" s="1296" t="s">
        <v>51</v>
      </c>
      <c r="C19" s="1297"/>
      <c r="D19" s="110">
        <f>+'Achalandage 2021'!D395</f>
        <v>3808</v>
      </c>
      <c r="E19" s="110">
        <f>+'Achalandage 2021'!E395</f>
        <v>3691</v>
      </c>
      <c r="F19" s="110">
        <f>+'Achalandage 2021'!F395</f>
        <v>4113</v>
      </c>
      <c r="G19" s="110">
        <f>+'Achalandage 2021'!G395</f>
        <v>4161</v>
      </c>
      <c r="H19" s="110">
        <f>+'Achalandage 2021'!H395</f>
        <v>4480</v>
      </c>
      <c r="I19" s="110">
        <f>+'Achalandage 2021'!I395</f>
        <v>4604</v>
      </c>
      <c r="J19" s="110">
        <f>+'Achalandage 2021'!J395</f>
        <v>4773</v>
      </c>
      <c r="K19" s="110">
        <f>+'Achalandage 2021'!K395</f>
        <v>4836</v>
      </c>
      <c r="L19" s="110">
        <f>+'Achalandage 2021'!L395</f>
        <v>4422</v>
      </c>
      <c r="M19" s="110">
        <f>+'Achalandage 2021'!M395</f>
        <v>4426</v>
      </c>
      <c r="N19" s="110">
        <f>+'Achalandage 2021'!N395</f>
        <v>4114</v>
      </c>
      <c r="O19" s="110">
        <f>+'Achalandage 2021'!O395</f>
        <v>4572</v>
      </c>
      <c r="P19" s="111">
        <f>+D19+E19+F19+G19+H19+I19+J19+K19+L19+M19+N19+O19</f>
        <v>52000</v>
      </c>
    </row>
    <row r="20" spans="2:16" ht="15" thickTop="1" thickBot="1" x14ac:dyDescent="0.2">
      <c r="B20" s="105"/>
      <c r="C20" s="105"/>
      <c r="D20" s="105"/>
      <c r="E20" s="105"/>
      <c r="F20" s="105"/>
      <c r="G20" s="105"/>
      <c r="H20" s="105"/>
      <c r="I20" s="105"/>
      <c r="J20" s="105"/>
      <c r="K20" s="105"/>
      <c r="L20" s="105"/>
      <c r="M20" s="105"/>
      <c r="N20" s="105"/>
      <c r="O20" s="105"/>
      <c r="P20" s="105"/>
    </row>
    <row r="21" spans="2:16" ht="15" thickTop="1" thickBot="1" x14ac:dyDescent="0.2">
      <c r="B21" s="1294" t="s">
        <v>53</v>
      </c>
      <c r="C21" s="1295"/>
      <c r="D21" s="112">
        <f t="shared" ref="D21:P21" si="6">+D19/(D7*D9)</f>
        <v>4.0946236559139786</v>
      </c>
      <c r="E21" s="112">
        <f t="shared" si="6"/>
        <v>4.394047619047619</v>
      </c>
      <c r="F21" s="112">
        <f t="shared" si="6"/>
        <v>4.4225806451612906</v>
      </c>
      <c r="G21" s="112">
        <f t="shared" si="6"/>
        <v>4.6233333333333331</v>
      </c>
      <c r="H21" s="112">
        <f t="shared" si="6"/>
        <v>4.817204301075269</v>
      </c>
      <c r="I21" s="112">
        <f t="shared" si="6"/>
        <v>5.1155555555555559</v>
      </c>
      <c r="J21" s="112">
        <f t="shared" si="6"/>
        <v>5.1322580645161286</v>
      </c>
      <c r="K21" s="112">
        <f t="shared" si="6"/>
        <v>5.2</v>
      </c>
      <c r="L21" s="112">
        <f t="shared" si="6"/>
        <v>4.9133333333333331</v>
      </c>
      <c r="M21" s="112">
        <f t="shared" si="6"/>
        <v>4.7591397849462362</v>
      </c>
      <c r="N21" s="112">
        <f t="shared" si="6"/>
        <v>4.5711111111111107</v>
      </c>
      <c r="O21" s="112">
        <f t="shared" si="6"/>
        <v>4.9161290322580644</v>
      </c>
      <c r="P21" s="113">
        <f t="shared" si="6"/>
        <v>4.7488584474885842</v>
      </c>
    </row>
    <row r="22" spans="2:16" ht="15" thickTop="1" thickBot="1" x14ac:dyDescent="0.2">
      <c r="B22" s="105"/>
      <c r="C22" s="105"/>
      <c r="D22" s="105"/>
      <c r="E22" s="105"/>
      <c r="F22" s="105"/>
      <c r="G22" s="105"/>
      <c r="H22" s="105"/>
      <c r="I22" s="105"/>
      <c r="J22" s="105"/>
      <c r="K22" s="105"/>
      <c r="L22" s="105"/>
      <c r="M22" s="105"/>
      <c r="N22" s="105"/>
      <c r="O22" s="105"/>
      <c r="P22" s="105"/>
    </row>
    <row r="23" spans="2:16" ht="15" thickTop="1" thickBot="1" x14ac:dyDescent="0.2">
      <c r="B23" s="1294" t="s">
        <v>54</v>
      </c>
      <c r="C23" s="1295"/>
      <c r="D23" s="114">
        <f t="shared" ref="D23:P23" si="7">+D19/(D7*D9)</f>
        <v>4.0946236559139786</v>
      </c>
      <c r="E23" s="114">
        <f t="shared" si="7"/>
        <v>4.394047619047619</v>
      </c>
      <c r="F23" s="114">
        <f t="shared" si="7"/>
        <v>4.4225806451612906</v>
      </c>
      <c r="G23" s="114">
        <f t="shared" si="7"/>
        <v>4.6233333333333331</v>
      </c>
      <c r="H23" s="114">
        <f t="shared" si="7"/>
        <v>4.817204301075269</v>
      </c>
      <c r="I23" s="114">
        <f t="shared" si="7"/>
        <v>5.1155555555555559</v>
      </c>
      <c r="J23" s="114">
        <f t="shared" si="7"/>
        <v>5.1322580645161286</v>
      </c>
      <c r="K23" s="114">
        <f t="shared" si="7"/>
        <v>5.2</v>
      </c>
      <c r="L23" s="114">
        <f t="shared" si="7"/>
        <v>4.9133333333333331</v>
      </c>
      <c r="M23" s="114">
        <f t="shared" si="7"/>
        <v>4.7591397849462362</v>
      </c>
      <c r="N23" s="114">
        <f t="shared" si="7"/>
        <v>4.5711111111111107</v>
      </c>
      <c r="O23" s="114">
        <f t="shared" si="7"/>
        <v>4.9161290322580644</v>
      </c>
      <c r="P23" s="115">
        <f t="shared" si="7"/>
        <v>4.7488584474885842</v>
      </c>
    </row>
    <row r="24" spans="2:16" ht="14" thickTop="1" x14ac:dyDescent="0.15"/>
  </sheetData>
  <sheetProtection algorithmName="SHA-512" hashValue="0mQqxfpqdV5SiNRvNf7pVlVPYNSt0M6RaFTnOARzv/6F7UH9SIZvMJEAHrppevM0ilWMp3BPF++6IIAh9p8U0Q==" saltValue="W/cn5qtzbkOLkSmfl/614w==" spinCount="100000" sheet="1" objects="1" scenarios="1"/>
  <mergeCells count="9">
    <mergeCell ref="B2:P2"/>
    <mergeCell ref="B3:P3"/>
    <mergeCell ref="B4:P4"/>
    <mergeCell ref="B21:C21"/>
    <mergeCell ref="B23:C23"/>
    <mergeCell ref="B19:C19"/>
    <mergeCell ref="B7:C7"/>
    <mergeCell ref="B8:C8"/>
    <mergeCell ref="B9:C9"/>
  </mergeCells>
  <pageMargins left="0.75" right="0.75" top="1" bottom="1" header="0.5" footer="0.5"/>
  <pageSetup orientation="portrait" horizontalDpi="4294967292" verticalDpi="4294967292"/>
  <ignoredErrors>
    <ignoredError sqref="P18" formula="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0ED51-A12D-B040-8319-182A9AF851F3}">
  <sheetPr codeName="Feuil4">
    <tabColor theme="1"/>
  </sheetPr>
  <dimension ref="B1:BV123"/>
  <sheetViews>
    <sheetView zoomScale="150" workbookViewId="0">
      <pane xSplit="3" ySplit="3" topLeftCell="D100" activePane="bottomRight" state="frozen"/>
      <selection pane="topRight" activeCell="D1" sqref="D1"/>
      <selection pane="bottomLeft" activeCell="A4" sqref="A4"/>
      <selection pane="bottomRight" activeCell="A104" sqref="A104"/>
    </sheetView>
  </sheetViews>
  <sheetFormatPr baseColWidth="10" defaultRowHeight="13" x14ac:dyDescent="0.15"/>
  <cols>
    <col min="1" max="1" width="3.6640625" style="161" customWidth="1"/>
    <col min="2" max="2" width="7.33203125" style="161" bestFit="1" customWidth="1"/>
    <col min="3" max="3" width="2.6640625" style="161" bestFit="1" customWidth="1"/>
    <col min="4" max="4" width="8.5" style="161" bestFit="1" customWidth="1"/>
    <col min="5" max="5" width="29.33203125" style="161" customWidth="1"/>
    <col min="6" max="6" width="2.5" style="161" bestFit="1" customWidth="1"/>
    <col min="7" max="7" width="32.83203125" style="161" bestFit="1" customWidth="1"/>
    <col min="8" max="8" width="2.33203125" style="161" bestFit="1" customWidth="1"/>
    <col min="9" max="9" width="2" style="161" bestFit="1" customWidth="1"/>
    <col min="10" max="10" width="9.83203125" style="161" customWidth="1"/>
    <col min="11" max="11" width="2.33203125" style="161" bestFit="1" customWidth="1"/>
    <col min="12" max="12" width="9.83203125" style="161" bestFit="1" customWidth="1"/>
    <col min="13" max="13" width="2" style="161" bestFit="1" customWidth="1"/>
    <col min="14" max="14" width="8.5" style="161" bestFit="1" customWidth="1"/>
    <col min="15" max="15" width="3.5" style="161" bestFit="1" customWidth="1"/>
    <col min="16" max="16" width="8.5" style="161" customWidth="1"/>
    <col min="17" max="17" width="24.5" style="161" bestFit="1" customWidth="1"/>
    <col min="18" max="18" width="2.5" style="161" bestFit="1" customWidth="1"/>
    <col min="19" max="19" width="26.33203125" style="161" bestFit="1" customWidth="1"/>
    <col min="20" max="20" width="2.33203125" style="161" bestFit="1" customWidth="1"/>
    <col min="21" max="21" width="2" style="161" bestFit="1" customWidth="1"/>
    <col min="22" max="22" width="10.83203125" style="161"/>
    <col min="23" max="23" width="2.33203125" style="161" bestFit="1" customWidth="1"/>
    <col min="24" max="24" width="11.83203125" style="161" bestFit="1" customWidth="1"/>
    <col min="25" max="25" width="2" style="161" bestFit="1" customWidth="1"/>
    <col min="26" max="26" width="8.5" style="161" bestFit="1" customWidth="1"/>
    <col min="27" max="27" width="3.5" style="161" bestFit="1" customWidth="1"/>
    <col min="28" max="28" width="8.5" style="161" bestFit="1" customWidth="1"/>
    <col min="29" max="29" width="24.5" style="161" bestFit="1" customWidth="1"/>
    <col min="30" max="30" width="2.5" style="161" bestFit="1" customWidth="1"/>
    <col min="31" max="31" width="26.33203125" style="161" bestFit="1" customWidth="1"/>
    <col min="32" max="32" width="2.33203125" style="161" bestFit="1" customWidth="1"/>
    <col min="33" max="33" width="2" style="161" bestFit="1" customWidth="1"/>
    <col min="34" max="34" width="10.83203125" style="161"/>
    <col min="35" max="35" width="2.33203125" style="161" bestFit="1" customWidth="1"/>
    <col min="36" max="36" width="10.83203125" style="161"/>
    <col min="37" max="37" width="2" style="161" bestFit="1" customWidth="1"/>
    <col min="38" max="38" width="8.5" style="161" bestFit="1" customWidth="1"/>
    <col min="39" max="39" width="3.5" style="161" bestFit="1" customWidth="1"/>
    <col min="40" max="40" width="8.5" style="161" bestFit="1" customWidth="1"/>
    <col min="41" max="41" width="24.5" style="161" bestFit="1" customWidth="1"/>
    <col min="42" max="42" width="2.5" style="161" bestFit="1" customWidth="1"/>
    <col min="43" max="43" width="26.33203125" style="161" bestFit="1" customWidth="1"/>
    <col min="44" max="44" width="2.33203125" style="161" bestFit="1" customWidth="1"/>
    <col min="45" max="45" width="2" style="161" bestFit="1" customWidth="1"/>
    <col min="46" max="46" width="10.83203125" style="161"/>
    <col min="47" max="47" width="2.33203125" style="161" bestFit="1" customWidth="1"/>
    <col min="48" max="48" width="10.83203125" style="161"/>
    <col min="49" max="49" width="2" style="161" bestFit="1" customWidth="1"/>
    <col min="50" max="50" width="8.5" style="161" bestFit="1" customWidth="1"/>
    <col min="51" max="51" width="2.6640625" style="161" customWidth="1"/>
    <col min="52" max="52" width="8.5" style="161" bestFit="1" customWidth="1"/>
    <col min="53" max="53" width="22.83203125" style="161" bestFit="1" customWidth="1"/>
    <col min="54" max="54" width="2.5" style="161" bestFit="1" customWidth="1"/>
    <col min="55" max="55" width="26.83203125" style="161" bestFit="1" customWidth="1"/>
    <col min="56" max="56" width="2.33203125" style="161" bestFit="1" customWidth="1"/>
    <col min="57" max="57" width="2" style="161" bestFit="1" customWidth="1"/>
    <col min="58" max="58" width="10.83203125" style="161"/>
    <col min="59" max="59" width="2.33203125" style="161" bestFit="1" customWidth="1"/>
    <col min="60" max="60" width="10.83203125" style="161"/>
    <col min="61" max="61" width="2" style="161" bestFit="1" customWidth="1"/>
    <col min="62" max="62" width="8.5" style="161" bestFit="1" customWidth="1"/>
    <col min="63" max="63" width="2" style="161" customWidth="1"/>
    <col min="64" max="64" width="8.5" style="161" bestFit="1" customWidth="1"/>
    <col min="65" max="65" width="21" style="161" bestFit="1" customWidth="1"/>
    <col min="66" max="66" width="2.5" style="161" bestFit="1" customWidth="1"/>
    <col min="67" max="67" width="26.83203125" style="161" bestFit="1" customWidth="1"/>
    <col min="68" max="68" width="2.33203125" style="161" bestFit="1" customWidth="1"/>
    <col min="69" max="69" width="2" style="161" bestFit="1" customWidth="1"/>
    <col min="70" max="70" width="10.83203125" style="161"/>
    <col min="71" max="71" width="2.33203125" style="161" bestFit="1" customWidth="1"/>
    <col min="72" max="72" width="10.83203125" style="161"/>
    <col min="73" max="73" width="2" style="161" bestFit="1" customWidth="1"/>
    <col min="74" max="74" width="8.5" style="161" bestFit="1" customWidth="1"/>
    <col min="75" max="16384" width="10.83203125" style="161"/>
  </cols>
  <sheetData>
    <row r="1" spans="2:74" ht="5" customHeight="1" thickBot="1" x14ac:dyDescent="0.2"/>
    <row r="2" spans="2:74" ht="14" customHeight="1" thickTop="1" x14ac:dyDescent="0.15">
      <c r="D2" s="1339" t="s">
        <v>10</v>
      </c>
      <c r="E2" s="1340"/>
      <c r="F2" s="1340"/>
      <c r="G2" s="1340"/>
      <c r="H2" s="1340"/>
      <c r="I2" s="1340"/>
      <c r="J2" s="1340"/>
      <c r="K2" s="1340"/>
      <c r="L2" s="1340"/>
      <c r="M2" s="1340"/>
      <c r="N2" s="1341"/>
      <c r="P2" s="1339" t="s">
        <v>168</v>
      </c>
      <c r="Q2" s="1340"/>
      <c r="R2" s="1340"/>
      <c r="S2" s="1340"/>
      <c r="T2" s="1340"/>
      <c r="U2" s="1340"/>
      <c r="V2" s="1340"/>
      <c r="W2" s="1340"/>
      <c r="X2" s="1340"/>
      <c r="Y2" s="1340"/>
      <c r="Z2" s="1341"/>
      <c r="AB2" s="1339" t="s">
        <v>167</v>
      </c>
      <c r="AC2" s="1340"/>
      <c r="AD2" s="1340"/>
      <c r="AE2" s="1340"/>
      <c r="AF2" s="1340"/>
      <c r="AG2" s="1340"/>
      <c r="AH2" s="1340"/>
      <c r="AI2" s="1340"/>
      <c r="AJ2" s="1340"/>
      <c r="AK2" s="1340"/>
      <c r="AL2" s="1341"/>
      <c r="AN2" s="1339" t="s">
        <v>169</v>
      </c>
      <c r="AO2" s="1340"/>
      <c r="AP2" s="1340"/>
      <c r="AQ2" s="1340"/>
      <c r="AR2" s="1340"/>
      <c r="AS2" s="1340"/>
      <c r="AT2" s="1340"/>
      <c r="AU2" s="1340"/>
      <c r="AV2" s="1340"/>
      <c r="AW2" s="1340"/>
      <c r="AX2" s="1341"/>
      <c r="AZ2" s="1339" t="s">
        <v>237</v>
      </c>
      <c r="BA2" s="1340"/>
      <c r="BB2" s="1340"/>
      <c r="BC2" s="1340"/>
      <c r="BD2" s="1340"/>
      <c r="BE2" s="1340"/>
      <c r="BF2" s="1340"/>
      <c r="BG2" s="1340"/>
      <c r="BH2" s="1340"/>
      <c r="BI2" s="1340"/>
      <c r="BJ2" s="1341"/>
      <c r="BL2" s="1339" t="s">
        <v>238</v>
      </c>
      <c r="BM2" s="1340"/>
      <c r="BN2" s="1340"/>
      <c r="BO2" s="1340"/>
      <c r="BP2" s="1340"/>
      <c r="BQ2" s="1340"/>
      <c r="BR2" s="1340"/>
      <c r="BS2" s="1340"/>
      <c r="BT2" s="1340"/>
      <c r="BU2" s="1340"/>
      <c r="BV2" s="1341"/>
    </row>
    <row r="3" spans="2:74" ht="14" customHeight="1" thickBot="1" x14ac:dyDescent="0.2">
      <c r="C3" s="209"/>
      <c r="D3" s="1342"/>
      <c r="E3" s="1343"/>
      <c r="F3" s="1343"/>
      <c r="G3" s="1343"/>
      <c r="H3" s="1343"/>
      <c r="I3" s="1343"/>
      <c r="J3" s="1343"/>
      <c r="K3" s="1343"/>
      <c r="L3" s="1343"/>
      <c r="M3" s="1343"/>
      <c r="N3" s="1344"/>
      <c r="P3" s="1342"/>
      <c r="Q3" s="1343"/>
      <c r="R3" s="1343"/>
      <c r="S3" s="1343"/>
      <c r="T3" s="1343"/>
      <c r="U3" s="1343"/>
      <c r="V3" s="1343"/>
      <c r="W3" s="1343"/>
      <c r="X3" s="1343"/>
      <c r="Y3" s="1343"/>
      <c r="Z3" s="1344"/>
      <c r="AB3" s="1342"/>
      <c r="AC3" s="1343"/>
      <c r="AD3" s="1343"/>
      <c r="AE3" s="1343"/>
      <c r="AF3" s="1343"/>
      <c r="AG3" s="1343"/>
      <c r="AH3" s="1343"/>
      <c r="AI3" s="1343"/>
      <c r="AJ3" s="1343"/>
      <c r="AK3" s="1343"/>
      <c r="AL3" s="1344"/>
      <c r="AN3" s="1342"/>
      <c r="AO3" s="1343"/>
      <c r="AP3" s="1343"/>
      <c r="AQ3" s="1343"/>
      <c r="AR3" s="1343"/>
      <c r="AS3" s="1343"/>
      <c r="AT3" s="1343"/>
      <c r="AU3" s="1343"/>
      <c r="AV3" s="1343"/>
      <c r="AW3" s="1343"/>
      <c r="AX3" s="1344"/>
      <c r="AZ3" s="1342"/>
      <c r="BA3" s="1343"/>
      <c r="BB3" s="1343"/>
      <c r="BC3" s="1343"/>
      <c r="BD3" s="1343"/>
      <c r="BE3" s="1343"/>
      <c r="BF3" s="1343"/>
      <c r="BG3" s="1343"/>
      <c r="BH3" s="1343"/>
      <c r="BI3" s="1343"/>
      <c r="BJ3" s="1344"/>
      <c r="BL3" s="1342"/>
      <c r="BM3" s="1343"/>
      <c r="BN3" s="1343"/>
      <c r="BO3" s="1343"/>
      <c r="BP3" s="1343"/>
      <c r="BQ3" s="1343"/>
      <c r="BR3" s="1343"/>
      <c r="BS3" s="1343"/>
      <c r="BT3" s="1343"/>
      <c r="BU3" s="1343"/>
      <c r="BV3" s="1344"/>
    </row>
    <row r="4" spans="2:74" ht="10" customHeight="1" thickTop="1" thickBot="1" x14ac:dyDescent="0.2">
      <c r="C4" s="209"/>
    </row>
    <row r="5" spans="2:74" ht="17" thickTop="1" x14ac:dyDescent="0.2">
      <c r="B5" s="1356">
        <v>1</v>
      </c>
      <c r="C5" s="1368" t="s">
        <v>625</v>
      </c>
      <c r="D5" s="1316" t="s">
        <v>42</v>
      </c>
      <c r="E5" s="330"/>
      <c r="F5" s="330"/>
      <c r="G5" s="330"/>
      <c r="H5" s="330"/>
      <c r="I5" s="330"/>
      <c r="J5" s="330"/>
      <c r="K5" s="330"/>
      <c r="L5" s="330"/>
      <c r="M5" s="330"/>
      <c r="N5" s="1319" t="s">
        <v>43</v>
      </c>
      <c r="O5" s="1348"/>
      <c r="P5" s="1316" t="s">
        <v>42</v>
      </c>
      <c r="Q5" s="330"/>
      <c r="R5" s="330"/>
      <c r="S5" s="330"/>
      <c r="T5" s="330"/>
      <c r="U5" s="330"/>
      <c r="V5" s="330"/>
      <c r="W5" s="330"/>
      <c r="X5" s="330"/>
      <c r="Y5" s="330"/>
      <c r="Z5" s="1319" t="s">
        <v>43</v>
      </c>
      <c r="AA5" s="1348"/>
      <c r="AB5" s="1316" t="s">
        <v>42</v>
      </c>
      <c r="AC5" s="330"/>
      <c r="AD5" s="330"/>
      <c r="AE5" s="330"/>
      <c r="AF5" s="330"/>
      <c r="AG5" s="330"/>
      <c r="AH5" s="330"/>
      <c r="AI5" s="330"/>
      <c r="AJ5" s="330"/>
      <c r="AK5" s="330"/>
      <c r="AL5" s="1319" t="s">
        <v>43</v>
      </c>
      <c r="AM5" s="1348"/>
      <c r="AN5" s="1316" t="s">
        <v>42</v>
      </c>
      <c r="AO5" s="330"/>
      <c r="AP5" s="330"/>
      <c r="AQ5" s="330"/>
      <c r="AR5" s="330"/>
      <c r="AS5" s="330"/>
      <c r="AT5" s="330"/>
      <c r="AU5" s="330"/>
      <c r="AV5" s="330"/>
      <c r="AW5" s="330"/>
      <c r="AX5" s="1319" t="s">
        <v>43</v>
      </c>
      <c r="AZ5" s="1316" t="s">
        <v>42</v>
      </c>
      <c r="BA5" s="330"/>
      <c r="BB5" s="330"/>
      <c r="BC5" s="330"/>
      <c r="BD5" s="330"/>
      <c r="BE5" s="330"/>
      <c r="BF5" s="330"/>
      <c r="BG5" s="330"/>
      <c r="BH5" s="330"/>
      <c r="BI5" s="330"/>
      <c r="BJ5" s="1319" t="s">
        <v>43</v>
      </c>
      <c r="BL5" s="1316" t="s">
        <v>42</v>
      </c>
      <c r="BM5" s="330"/>
      <c r="BN5" s="330"/>
      <c r="BO5" s="330"/>
      <c r="BP5" s="330"/>
      <c r="BQ5" s="330"/>
      <c r="BR5" s="330"/>
      <c r="BS5" s="330"/>
      <c r="BT5" s="330"/>
      <c r="BU5" s="330"/>
      <c r="BV5" s="1319" t="s">
        <v>43</v>
      </c>
    </row>
    <row r="6" spans="2:74" ht="16" x14ac:dyDescent="0.2">
      <c r="B6" s="1357"/>
      <c r="C6" s="1368"/>
      <c r="D6" s="1317"/>
      <c r="E6" s="331"/>
      <c r="F6" s="331"/>
      <c r="G6" s="331"/>
      <c r="H6" s="331"/>
      <c r="I6" s="331"/>
      <c r="J6" s="331"/>
      <c r="K6" s="331"/>
      <c r="L6" s="331"/>
      <c r="M6" s="331"/>
      <c r="N6" s="1320"/>
      <c r="O6" s="1348"/>
      <c r="P6" s="1317"/>
      <c r="Q6" s="331"/>
      <c r="R6" s="331"/>
      <c r="S6" s="331"/>
      <c r="T6" s="331"/>
      <c r="U6" s="331"/>
      <c r="V6" s="331"/>
      <c r="W6" s="331"/>
      <c r="X6" s="331"/>
      <c r="Y6" s="331"/>
      <c r="Z6" s="1320"/>
      <c r="AA6" s="1348"/>
      <c r="AB6" s="1317"/>
      <c r="AC6" s="331"/>
      <c r="AD6" s="331"/>
      <c r="AE6" s="331"/>
      <c r="AF6" s="331"/>
      <c r="AG6" s="331"/>
      <c r="AH6" s="331"/>
      <c r="AI6" s="331"/>
      <c r="AJ6" s="331"/>
      <c r="AK6" s="331"/>
      <c r="AL6" s="1320"/>
      <c r="AM6" s="1348"/>
      <c r="AN6" s="1317"/>
      <c r="AO6" s="331"/>
      <c r="AP6" s="331"/>
      <c r="AQ6" s="331"/>
      <c r="AR6" s="331"/>
      <c r="AS6" s="331"/>
      <c r="AT6" s="331"/>
      <c r="AU6" s="331"/>
      <c r="AV6" s="331"/>
      <c r="AW6" s="331"/>
      <c r="AX6" s="1320"/>
      <c r="AZ6" s="1317"/>
      <c r="BA6" s="331"/>
      <c r="BB6" s="331"/>
      <c r="BC6" s="331"/>
      <c r="BD6" s="331"/>
      <c r="BE6" s="331"/>
      <c r="BF6" s="331"/>
      <c r="BG6" s="331"/>
      <c r="BH6" s="331"/>
      <c r="BI6" s="331"/>
      <c r="BJ6" s="1320"/>
      <c r="BL6" s="1317"/>
      <c r="BM6" s="331"/>
      <c r="BN6" s="331"/>
      <c r="BO6" s="331"/>
      <c r="BP6" s="331"/>
      <c r="BQ6" s="331"/>
      <c r="BR6" s="331"/>
      <c r="BS6" s="331"/>
      <c r="BT6" s="331"/>
      <c r="BU6" s="331"/>
      <c r="BV6" s="1320"/>
    </row>
    <row r="7" spans="2:74" ht="21" x14ac:dyDescent="0.25">
      <c r="B7" s="1357"/>
      <c r="C7" s="1368"/>
      <c r="D7" s="1317"/>
      <c r="E7" s="332" t="s">
        <v>163</v>
      </c>
      <c r="F7" s="332" t="s">
        <v>44</v>
      </c>
      <c r="G7" s="332" t="s">
        <v>165</v>
      </c>
      <c r="H7" s="332" t="s">
        <v>45</v>
      </c>
      <c r="I7" s="332" t="s">
        <v>46</v>
      </c>
      <c r="J7" s="332" t="s">
        <v>47</v>
      </c>
      <c r="K7" s="332" t="s">
        <v>45</v>
      </c>
      <c r="L7" s="332" t="s">
        <v>48</v>
      </c>
      <c r="M7" s="332" t="s">
        <v>49</v>
      </c>
      <c r="N7" s="1320"/>
      <c r="O7" s="1348"/>
      <c r="P7" s="1317"/>
      <c r="Q7" s="332" t="str">
        <f>E7</f>
        <v>Demande mensuelle</v>
      </c>
      <c r="R7" s="332" t="s">
        <v>44</v>
      </c>
      <c r="S7" s="332" t="str">
        <f>G7</f>
        <v>Achalandage mensuel</v>
      </c>
      <c r="T7" s="332" t="s">
        <v>45</v>
      </c>
      <c r="U7" s="332" t="s">
        <v>46</v>
      </c>
      <c r="V7" s="332" t="str">
        <f>J7</f>
        <v>Um/A</v>
      </c>
      <c r="W7" s="332" t="s">
        <v>45</v>
      </c>
      <c r="X7" s="332" t="str">
        <f>L7</f>
        <v>PmO</v>
      </c>
      <c r="Y7" s="332" t="s">
        <v>49</v>
      </c>
      <c r="Z7" s="1320"/>
      <c r="AA7" s="1348"/>
      <c r="AB7" s="1317"/>
      <c r="AC7" s="332" t="str">
        <f>E7</f>
        <v>Demande mensuelle</v>
      </c>
      <c r="AD7" s="332" t="s">
        <v>44</v>
      </c>
      <c r="AE7" s="332" t="str">
        <f>G7</f>
        <v>Achalandage mensuel</v>
      </c>
      <c r="AF7" s="332" t="s">
        <v>45</v>
      </c>
      <c r="AG7" s="332" t="s">
        <v>46</v>
      </c>
      <c r="AH7" s="332" t="str">
        <f>J7</f>
        <v>Um/A</v>
      </c>
      <c r="AI7" s="332" t="s">
        <v>45</v>
      </c>
      <c r="AJ7" s="332" t="str">
        <f>L7</f>
        <v>PmO</v>
      </c>
      <c r="AK7" s="332" t="s">
        <v>49</v>
      </c>
      <c r="AL7" s="1320"/>
      <c r="AM7" s="1348"/>
      <c r="AN7" s="1317"/>
      <c r="AO7" s="332" t="str">
        <f>E7</f>
        <v>Demande mensuelle</v>
      </c>
      <c r="AP7" s="332" t="s">
        <v>44</v>
      </c>
      <c r="AQ7" s="332" t="str">
        <f>G7</f>
        <v>Achalandage mensuel</v>
      </c>
      <c r="AR7" s="332" t="s">
        <v>45</v>
      </c>
      <c r="AS7" s="332" t="s">
        <v>46</v>
      </c>
      <c r="AT7" s="332" t="str">
        <f>J7</f>
        <v>Um/A</v>
      </c>
      <c r="AU7" s="332" t="s">
        <v>45</v>
      </c>
      <c r="AV7" s="332" t="str">
        <f>L7</f>
        <v>PmO</v>
      </c>
      <c r="AW7" s="332" t="s">
        <v>49</v>
      </c>
      <c r="AX7" s="1320"/>
      <c r="AZ7" s="1317"/>
      <c r="BA7" s="332" t="s">
        <v>241</v>
      </c>
      <c r="BB7" s="332" t="s">
        <v>44</v>
      </c>
      <c r="BC7" s="332" t="str">
        <f>G7</f>
        <v>Achalandage mensuel</v>
      </c>
      <c r="BD7" s="332" t="s">
        <v>45</v>
      </c>
      <c r="BE7" s="332" t="s">
        <v>46</v>
      </c>
      <c r="BF7" s="332" t="str">
        <f>J7</f>
        <v>Um/A</v>
      </c>
      <c r="BG7" s="332" t="s">
        <v>45</v>
      </c>
      <c r="BH7" s="332" t="s">
        <v>232</v>
      </c>
      <c r="BI7" s="332" t="s">
        <v>49</v>
      </c>
      <c r="BJ7" s="1320"/>
      <c r="BL7" s="1317"/>
      <c r="BM7" s="332" t="s">
        <v>242</v>
      </c>
      <c r="BN7" s="332" t="s">
        <v>44</v>
      </c>
      <c r="BO7" s="332" t="str">
        <f>S7</f>
        <v>Achalandage mensuel</v>
      </c>
      <c r="BP7" s="332" t="s">
        <v>45</v>
      </c>
      <c r="BQ7" s="332" t="s">
        <v>46</v>
      </c>
      <c r="BR7" s="332" t="str">
        <f>V7</f>
        <v>Um/A</v>
      </c>
      <c r="BS7" s="332" t="s">
        <v>45</v>
      </c>
      <c r="BT7" s="332" t="s">
        <v>236</v>
      </c>
      <c r="BU7" s="332" t="s">
        <v>49</v>
      </c>
      <c r="BV7" s="1320"/>
    </row>
    <row r="8" spans="2:74" ht="19" x14ac:dyDescent="0.25">
      <c r="B8" s="1357"/>
      <c r="C8" s="1368"/>
      <c r="D8" s="1317"/>
      <c r="E8" s="333" t="s">
        <v>2</v>
      </c>
      <c r="F8" s="334"/>
      <c r="G8" s="333"/>
      <c r="H8" s="334"/>
      <c r="I8" s="334"/>
      <c r="J8" s="334"/>
      <c r="K8" s="334"/>
      <c r="L8" s="334"/>
      <c r="M8" s="334"/>
      <c r="N8" s="1320"/>
      <c r="O8" s="1348"/>
      <c r="P8" s="1317"/>
      <c r="Q8" s="333" t="s">
        <v>2</v>
      </c>
      <c r="R8" s="334"/>
      <c r="S8" s="333"/>
      <c r="T8" s="334"/>
      <c r="U8" s="334"/>
      <c r="V8" s="334"/>
      <c r="W8" s="334"/>
      <c r="X8" s="334"/>
      <c r="Y8" s="334"/>
      <c r="Z8" s="1320"/>
      <c r="AA8" s="1348"/>
      <c r="AB8" s="1317"/>
      <c r="AC8" s="333" t="s">
        <v>2</v>
      </c>
      <c r="AD8" s="334"/>
      <c r="AE8" s="333"/>
      <c r="AF8" s="334"/>
      <c r="AG8" s="334"/>
      <c r="AH8" s="334"/>
      <c r="AI8" s="334"/>
      <c r="AJ8" s="334"/>
      <c r="AK8" s="334"/>
      <c r="AL8" s="1320"/>
      <c r="AM8" s="1348"/>
      <c r="AN8" s="1317"/>
      <c r="AO8" s="333" t="s">
        <v>2</v>
      </c>
      <c r="AP8" s="334"/>
      <c r="AQ8" s="333"/>
      <c r="AR8" s="334"/>
      <c r="AS8" s="334"/>
      <c r="AT8" s="334"/>
      <c r="AU8" s="334"/>
      <c r="AV8" s="334"/>
      <c r="AW8" s="334"/>
      <c r="AX8" s="1320"/>
      <c r="AZ8" s="1317"/>
      <c r="BA8" s="333" t="s">
        <v>2</v>
      </c>
      <c r="BB8" s="334"/>
      <c r="BC8" s="333"/>
      <c r="BD8" s="334"/>
      <c r="BE8" s="334"/>
      <c r="BF8" s="334"/>
      <c r="BG8" s="334"/>
      <c r="BH8" s="334"/>
      <c r="BI8" s="334"/>
      <c r="BJ8" s="1320"/>
      <c r="BL8" s="1317"/>
      <c r="BM8" s="333" t="s">
        <v>2</v>
      </c>
      <c r="BN8" s="334"/>
      <c r="BO8" s="333"/>
      <c r="BP8" s="334"/>
      <c r="BQ8" s="334"/>
      <c r="BR8" s="334"/>
      <c r="BS8" s="334"/>
      <c r="BT8" s="334"/>
      <c r="BU8" s="334"/>
      <c r="BV8" s="1320"/>
    </row>
    <row r="9" spans="2:74" ht="26" x14ac:dyDescent="0.3">
      <c r="B9" s="1357"/>
      <c r="C9" s="1368"/>
      <c r="D9" s="1317"/>
      <c r="E9" s="335" t="s">
        <v>133</v>
      </c>
      <c r="F9" s="336"/>
      <c r="G9" s="335" t="s">
        <v>50</v>
      </c>
      <c r="H9" s="336"/>
      <c r="I9" s="336"/>
      <c r="J9" s="335" t="str">
        <f>+J7</f>
        <v>Um/A</v>
      </c>
      <c r="K9" s="336"/>
      <c r="L9" s="335" t="str">
        <f>+L7</f>
        <v>PmO</v>
      </c>
      <c r="M9" s="336"/>
      <c r="N9" s="1320"/>
      <c r="O9" s="1348"/>
      <c r="P9" s="1317"/>
      <c r="Q9" s="335" t="str">
        <f>E9</f>
        <v>D</v>
      </c>
      <c r="R9" s="336"/>
      <c r="S9" s="335" t="str">
        <f>G9</f>
        <v>A</v>
      </c>
      <c r="T9" s="336"/>
      <c r="U9" s="336"/>
      <c r="V9" s="335" t="str">
        <f>+V7</f>
        <v>Um/A</v>
      </c>
      <c r="W9" s="336"/>
      <c r="X9" s="335" t="str">
        <f>+X7</f>
        <v>PmO</v>
      </c>
      <c r="Y9" s="336"/>
      <c r="Z9" s="1320"/>
      <c r="AA9" s="1348"/>
      <c r="AB9" s="1317"/>
      <c r="AC9" s="335" t="str">
        <f>E9</f>
        <v>D</v>
      </c>
      <c r="AD9" s="336"/>
      <c r="AE9" s="335" t="str">
        <f>G9</f>
        <v>A</v>
      </c>
      <c r="AF9" s="336"/>
      <c r="AG9" s="336"/>
      <c r="AH9" s="335" t="str">
        <f>+AH7</f>
        <v>Um/A</v>
      </c>
      <c r="AI9" s="336"/>
      <c r="AJ9" s="335" t="str">
        <f>+AJ7</f>
        <v>PmO</v>
      </c>
      <c r="AK9" s="336"/>
      <c r="AL9" s="1320"/>
      <c r="AM9" s="1348"/>
      <c r="AN9" s="1317"/>
      <c r="AO9" s="335" t="str">
        <f>E9</f>
        <v>D</v>
      </c>
      <c r="AP9" s="336"/>
      <c r="AQ9" s="335" t="str">
        <f>G9</f>
        <v>A</v>
      </c>
      <c r="AR9" s="336"/>
      <c r="AS9" s="336"/>
      <c r="AT9" s="335" t="str">
        <f>+AT7</f>
        <v>Um/A</v>
      </c>
      <c r="AU9" s="336"/>
      <c r="AV9" s="335" t="str">
        <f>+AV7</f>
        <v>PmO</v>
      </c>
      <c r="AW9" s="336"/>
      <c r="AX9" s="1320"/>
      <c r="AZ9" s="1317"/>
      <c r="BA9" s="335" t="s">
        <v>233</v>
      </c>
      <c r="BB9" s="336"/>
      <c r="BC9" s="335" t="str">
        <f>G9</f>
        <v>A</v>
      </c>
      <c r="BD9" s="336"/>
      <c r="BE9" s="336"/>
      <c r="BF9" s="335" t="str">
        <f>BF7</f>
        <v>Um/A</v>
      </c>
      <c r="BG9" s="336"/>
      <c r="BH9" s="335" t="str">
        <f>BH7</f>
        <v>CmO</v>
      </c>
      <c r="BI9" s="336"/>
      <c r="BJ9" s="1320"/>
      <c r="BL9" s="1317"/>
      <c r="BM9" s="335" t="s">
        <v>234</v>
      </c>
      <c r="BN9" s="336"/>
      <c r="BO9" s="335" t="str">
        <f>S9</f>
        <v>A</v>
      </c>
      <c r="BP9" s="336"/>
      <c r="BQ9" s="336"/>
      <c r="BR9" s="335" t="str">
        <f>BR7</f>
        <v>Um/A</v>
      </c>
      <c r="BS9" s="336"/>
      <c r="BT9" s="335" t="str">
        <f>BT7</f>
        <v>BmO</v>
      </c>
      <c r="BU9" s="336"/>
      <c r="BV9" s="1320"/>
    </row>
    <row r="10" spans="2:74" ht="21" x14ac:dyDescent="0.25">
      <c r="B10" s="1357"/>
      <c r="C10" s="1368"/>
      <c r="D10" s="1317"/>
      <c r="E10" s="337">
        <f>+Q10+AC10+AO10</f>
        <v>72986.666666666672</v>
      </c>
      <c r="F10" s="332" t="s">
        <v>44</v>
      </c>
      <c r="G10" s="338">
        <f>'% Occupation'!D19</f>
        <v>3808</v>
      </c>
      <c r="H10" s="332" t="s">
        <v>45</v>
      </c>
      <c r="I10" s="332" t="s">
        <v>46</v>
      </c>
      <c r="J10" s="339">
        <f>+V10+AH10+AT10</f>
        <v>3</v>
      </c>
      <c r="K10" s="332" t="s">
        <v>45</v>
      </c>
      <c r="L10" s="340">
        <f>E10/G10/J10</f>
        <v>6.3888888888888893</v>
      </c>
      <c r="M10" s="332" t="s">
        <v>49</v>
      </c>
      <c r="N10" s="1320"/>
      <c r="O10" s="1348"/>
      <c r="P10" s="1317"/>
      <c r="Q10" s="337">
        <f>+S10*(V10*X10)</f>
        <v>36683.733333333337</v>
      </c>
      <c r="R10" s="332" t="s">
        <v>44</v>
      </c>
      <c r="S10" s="338">
        <f>G10</f>
        <v>3808</v>
      </c>
      <c r="T10" s="332" t="s">
        <v>45</v>
      </c>
      <c r="U10" s="332" t="s">
        <v>46</v>
      </c>
      <c r="V10" s="375">
        <v>2</v>
      </c>
      <c r="W10" s="332" t="s">
        <v>45</v>
      </c>
      <c r="X10" s="1083">
        <f>'Calcul CmO et PmO'!F21</f>
        <v>4.8166666666666673</v>
      </c>
      <c r="Y10" s="332" t="s">
        <v>49</v>
      </c>
      <c r="Z10" s="1320"/>
      <c r="AA10" s="1348"/>
      <c r="AB10" s="1317"/>
      <c r="AC10" s="337">
        <f>+AE10*(AH10*AJ10)</f>
        <v>36302.933333333334</v>
      </c>
      <c r="AD10" s="332" t="s">
        <v>44</v>
      </c>
      <c r="AE10" s="338">
        <f>S10</f>
        <v>3808</v>
      </c>
      <c r="AF10" s="332" t="s">
        <v>45</v>
      </c>
      <c r="AG10" s="332" t="s">
        <v>46</v>
      </c>
      <c r="AH10" s="375">
        <v>1</v>
      </c>
      <c r="AI10" s="332" t="s">
        <v>45</v>
      </c>
      <c r="AJ10" s="1235">
        <f>'Calcul CmO et PmO'!F36</f>
        <v>9.5333333333333332</v>
      </c>
      <c r="AK10" s="332" t="s">
        <v>49</v>
      </c>
      <c r="AL10" s="1320"/>
      <c r="AM10" s="1348"/>
      <c r="AN10" s="1317"/>
      <c r="AO10" s="337">
        <f>+AQ10*(AT10*AV10)</f>
        <v>0</v>
      </c>
      <c r="AP10" s="332" t="s">
        <v>44</v>
      </c>
      <c r="AQ10" s="338">
        <f>AE10</f>
        <v>3808</v>
      </c>
      <c r="AR10" s="332" t="s">
        <v>45</v>
      </c>
      <c r="AS10" s="332" t="s">
        <v>46</v>
      </c>
      <c r="AT10" s="375">
        <v>0</v>
      </c>
      <c r="AU10" s="332" t="s">
        <v>45</v>
      </c>
      <c r="AV10" s="376">
        <v>0</v>
      </c>
      <c r="AW10" s="332" t="s">
        <v>49</v>
      </c>
      <c r="AX10" s="1320"/>
      <c r="AZ10" s="1317"/>
      <c r="BA10" s="337">
        <f>'État des Résultats'!E14-'État des Résultats'!E45</f>
        <v>70020.738765417438</v>
      </c>
      <c r="BB10" s="332" t="s">
        <v>44</v>
      </c>
      <c r="BC10" s="338">
        <f>G10</f>
        <v>3808</v>
      </c>
      <c r="BD10" s="332" t="s">
        <v>45</v>
      </c>
      <c r="BE10" s="332" t="s">
        <v>46</v>
      </c>
      <c r="BF10" s="339">
        <f>J10</f>
        <v>3</v>
      </c>
      <c r="BG10" s="332" t="s">
        <v>45</v>
      </c>
      <c r="BH10" s="340">
        <f>BA10/BC10/BF10</f>
        <v>6.1292663485134318</v>
      </c>
      <c r="BI10" s="332" t="s">
        <v>49</v>
      </c>
      <c r="BJ10" s="1320"/>
      <c r="BL10" s="1317"/>
      <c r="BM10" s="337">
        <f>'État des Résultats'!E45</f>
        <v>2965.9279012492393</v>
      </c>
      <c r="BN10" s="332" t="s">
        <v>44</v>
      </c>
      <c r="BO10" s="338">
        <f>S10</f>
        <v>3808</v>
      </c>
      <c r="BP10" s="332" t="s">
        <v>45</v>
      </c>
      <c r="BQ10" s="332" t="s">
        <v>46</v>
      </c>
      <c r="BR10" s="339">
        <f>J10</f>
        <v>3</v>
      </c>
      <c r="BS10" s="332" t="s">
        <v>45</v>
      </c>
      <c r="BT10" s="340">
        <f>BM10/BO10/BR10</f>
        <v>0.25962254037545862</v>
      </c>
      <c r="BU10" s="332" t="s">
        <v>49</v>
      </c>
      <c r="BV10" s="1320"/>
    </row>
    <row r="11" spans="2:74" ht="17" thickBot="1" x14ac:dyDescent="0.25">
      <c r="B11" s="1357"/>
      <c r="C11" s="1368"/>
      <c r="D11" s="1318"/>
      <c r="E11" s="341"/>
      <c r="F11" s="341"/>
      <c r="G11" s="341"/>
      <c r="H11" s="341"/>
      <c r="I11" s="341"/>
      <c r="J11" s="341"/>
      <c r="K11" s="341"/>
      <c r="L11" s="341"/>
      <c r="M11" s="341"/>
      <c r="N11" s="1321"/>
      <c r="O11" s="1348"/>
      <c r="P11" s="1318"/>
      <c r="Q11" s="341"/>
      <c r="R11" s="341"/>
      <c r="S11" s="341"/>
      <c r="T11" s="341"/>
      <c r="U11" s="341"/>
      <c r="V11" s="341"/>
      <c r="W11" s="341"/>
      <c r="X11" s="341"/>
      <c r="Y11" s="341"/>
      <c r="Z11" s="1321"/>
      <c r="AA11" s="1348"/>
      <c r="AB11" s="1318"/>
      <c r="AC11" s="341"/>
      <c r="AD11" s="341"/>
      <c r="AE11" s="341"/>
      <c r="AF11" s="341"/>
      <c r="AG11" s="341"/>
      <c r="AH11" s="341"/>
      <c r="AI11" s="341"/>
      <c r="AJ11" s="341"/>
      <c r="AK11" s="341"/>
      <c r="AL11" s="1321"/>
      <c r="AM11" s="1348"/>
      <c r="AN11" s="1318"/>
      <c r="AO11" s="341"/>
      <c r="AP11" s="341"/>
      <c r="AQ11" s="341"/>
      <c r="AR11" s="341"/>
      <c r="AS11" s="341"/>
      <c r="AT11" s="341"/>
      <c r="AU11" s="341"/>
      <c r="AV11" s="341"/>
      <c r="AW11" s="341"/>
      <c r="AX11" s="1321"/>
      <c r="AZ11" s="1318"/>
      <c r="BA11" s="341"/>
      <c r="BB11" s="341"/>
      <c r="BC11" s="341"/>
      <c r="BD11" s="341"/>
      <c r="BE11" s="341"/>
      <c r="BF11" s="341"/>
      <c r="BG11" s="341"/>
      <c r="BH11" s="341"/>
      <c r="BI11" s="341"/>
      <c r="BJ11" s="1321"/>
      <c r="BL11" s="1318"/>
      <c r="BM11" s="341"/>
      <c r="BN11" s="341"/>
      <c r="BO11" s="341"/>
      <c r="BP11" s="341"/>
      <c r="BQ11" s="341"/>
      <c r="BR11" s="341"/>
      <c r="BS11" s="341"/>
      <c r="BT11" s="341"/>
      <c r="BU11" s="341"/>
      <c r="BV11" s="1321"/>
    </row>
    <row r="12" spans="2:74" ht="5" customHeight="1" thickTop="1" thickBot="1" x14ac:dyDescent="0.2">
      <c r="B12" s="1357"/>
      <c r="C12" s="209"/>
    </row>
    <row r="13" spans="2:74" ht="16" customHeight="1" thickTop="1" x14ac:dyDescent="0.2">
      <c r="B13" s="1357"/>
      <c r="C13" s="1368" t="s">
        <v>626</v>
      </c>
      <c r="D13" s="1316" t="s">
        <v>42</v>
      </c>
      <c r="E13" s="330"/>
      <c r="F13" s="330"/>
      <c r="G13" s="330"/>
      <c r="H13" s="330"/>
      <c r="I13" s="330"/>
      <c r="J13" s="330"/>
      <c r="K13" s="330"/>
      <c r="L13" s="330"/>
      <c r="M13" s="330"/>
      <c r="N13" s="1319" t="s">
        <v>43</v>
      </c>
      <c r="P13" s="1316" t="s">
        <v>42</v>
      </c>
      <c r="Q13" s="330"/>
      <c r="R13" s="330"/>
      <c r="S13" s="330"/>
      <c r="T13" s="330"/>
      <c r="U13" s="330"/>
      <c r="V13" s="330"/>
      <c r="W13" s="330"/>
      <c r="X13" s="330"/>
      <c r="Y13" s="330"/>
      <c r="Z13" s="1319" t="s">
        <v>43</v>
      </c>
      <c r="AB13" s="1316" t="s">
        <v>42</v>
      </c>
      <c r="AC13" s="330"/>
      <c r="AD13" s="330"/>
      <c r="AE13" s="330"/>
      <c r="AF13" s="330"/>
      <c r="AG13" s="330"/>
      <c r="AH13" s="330"/>
      <c r="AI13" s="330"/>
      <c r="AJ13" s="330"/>
      <c r="AK13" s="330"/>
      <c r="AL13" s="1319" t="s">
        <v>43</v>
      </c>
      <c r="AN13" s="1316" t="s">
        <v>42</v>
      </c>
      <c r="AO13" s="330"/>
      <c r="AP13" s="330"/>
      <c r="AQ13" s="330"/>
      <c r="AR13" s="330"/>
      <c r="AS13" s="330"/>
      <c r="AT13" s="330"/>
      <c r="AU13" s="330"/>
      <c r="AV13" s="330"/>
      <c r="AW13" s="330"/>
      <c r="AX13" s="1319" t="s">
        <v>43</v>
      </c>
      <c r="AZ13" s="1316" t="s">
        <v>42</v>
      </c>
      <c r="BA13" s="330"/>
      <c r="BB13" s="330"/>
      <c r="BC13" s="330"/>
      <c r="BD13" s="330"/>
      <c r="BE13" s="330"/>
      <c r="BF13" s="330"/>
      <c r="BG13" s="330"/>
      <c r="BH13" s="330"/>
      <c r="BI13" s="330"/>
      <c r="BJ13" s="1319" t="s">
        <v>43</v>
      </c>
      <c r="BL13" s="1316" t="s">
        <v>42</v>
      </c>
      <c r="BM13" s="330"/>
      <c r="BN13" s="330"/>
      <c r="BO13" s="330"/>
      <c r="BP13" s="330"/>
      <c r="BQ13" s="330"/>
      <c r="BR13" s="330"/>
      <c r="BS13" s="330"/>
      <c r="BT13" s="330"/>
      <c r="BU13" s="330"/>
      <c r="BV13" s="1319" t="s">
        <v>43</v>
      </c>
    </row>
    <row r="14" spans="2:74" ht="16" x14ac:dyDescent="0.2">
      <c r="B14" s="1357"/>
      <c r="C14" s="1368"/>
      <c r="D14" s="1317"/>
      <c r="E14" s="331"/>
      <c r="F14" s="331"/>
      <c r="G14" s="331"/>
      <c r="H14" s="331"/>
      <c r="I14" s="331"/>
      <c r="J14" s="331"/>
      <c r="K14" s="331"/>
      <c r="L14" s="331"/>
      <c r="M14" s="331"/>
      <c r="N14" s="1320"/>
      <c r="P14" s="1317"/>
      <c r="Q14" s="331"/>
      <c r="R14" s="331"/>
      <c r="S14" s="331"/>
      <c r="T14" s="331"/>
      <c r="U14" s="331"/>
      <c r="V14" s="331"/>
      <c r="W14" s="331"/>
      <c r="X14" s="331"/>
      <c r="Y14" s="331"/>
      <c r="Z14" s="1320"/>
      <c r="AB14" s="1317"/>
      <c r="AC14" s="331"/>
      <c r="AD14" s="331"/>
      <c r="AE14" s="331"/>
      <c r="AF14" s="331"/>
      <c r="AG14" s="331"/>
      <c r="AH14" s="331"/>
      <c r="AI14" s="331"/>
      <c r="AJ14" s="331"/>
      <c r="AK14" s="331"/>
      <c r="AL14" s="1320"/>
      <c r="AN14" s="1317"/>
      <c r="AO14" s="331"/>
      <c r="AP14" s="331"/>
      <c r="AQ14" s="331"/>
      <c r="AR14" s="331"/>
      <c r="AS14" s="331"/>
      <c r="AT14" s="331"/>
      <c r="AU14" s="331"/>
      <c r="AV14" s="331"/>
      <c r="AW14" s="331"/>
      <c r="AX14" s="1320"/>
      <c r="AZ14" s="1317"/>
      <c r="BA14" s="331"/>
      <c r="BB14" s="331"/>
      <c r="BC14" s="331"/>
      <c r="BD14" s="331"/>
      <c r="BE14" s="331"/>
      <c r="BF14" s="331"/>
      <c r="BG14" s="331"/>
      <c r="BH14" s="331"/>
      <c r="BI14" s="331"/>
      <c r="BJ14" s="1320"/>
      <c r="BL14" s="1317"/>
      <c r="BM14" s="331"/>
      <c r="BN14" s="331"/>
      <c r="BO14" s="331"/>
      <c r="BP14" s="331"/>
      <c r="BQ14" s="331"/>
      <c r="BR14" s="331"/>
      <c r="BS14" s="331"/>
      <c r="BT14" s="331"/>
      <c r="BU14" s="331"/>
      <c r="BV14" s="1320"/>
    </row>
    <row r="15" spans="2:74" ht="21" customHeight="1" x14ac:dyDescent="0.25">
      <c r="B15" s="1357"/>
      <c r="C15" s="1368"/>
      <c r="D15" s="1317"/>
      <c r="E15" s="332" t="str">
        <f>+E7</f>
        <v>Demande mensuelle</v>
      </c>
      <c r="F15" s="332" t="s">
        <v>44</v>
      </c>
      <c r="G15" s="332" t="str">
        <f>+G7</f>
        <v>Achalandage mensuel</v>
      </c>
      <c r="H15" s="332" t="s">
        <v>45</v>
      </c>
      <c r="I15" s="332" t="s">
        <v>46</v>
      </c>
      <c r="J15" s="332" t="str">
        <f>J7</f>
        <v>Um/A</v>
      </c>
      <c r="K15" s="332" t="s">
        <v>45</v>
      </c>
      <c r="L15" s="332" t="str">
        <f>L7</f>
        <v>PmO</v>
      </c>
      <c r="M15" s="332" t="s">
        <v>49</v>
      </c>
      <c r="N15" s="1320"/>
      <c r="P15" s="1317"/>
      <c r="Q15" s="332" t="str">
        <f>+Q7</f>
        <v>Demande mensuelle</v>
      </c>
      <c r="R15" s="332" t="s">
        <v>44</v>
      </c>
      <c r="S15" s="332" t="str">
        <f>+S7</f>
        <v>Achalandage mensuel</v>
      </c>
      <c r="T15" s="332" t="s">
        <v>45</v>
      </c>
      <c r="U15" s="332" t="s">
        <v>46</v>
      </c>
      <c r="V15" s="332" t="str">
        <f>V7</f>
        <v>Um/A</v>
      </c>
      <c r="W15" s="332" t="s">
        <v>45</v>
      </c>
      <c r="X15" s="332" t="str">
        <f>X7</f>
        <v>PmO</v>
      </c>
      <c r="Y15" s="332" t="s">
        <v>49</v>
      </c>
      <c r="Z15" s="1320"/>
      <c r="AB15" s="1317"/>
      <c r="AC15" s="332" t="str">
        <f>AC7</f>
        <v>Demande mensuelle</v>
      </c>
      <c r="AD15" s="332" t="s">
        <v>44</v>
      </c>
      <c r="AE15" s="332" t="str">
        <f>AE7</f>
        <v>Achalandage mensuel</v>
      </c>
      <c r="AF15" s="332" t="s">
        <v>45</v>
      </c>
      <c r="AG15" s="332" t="s">
        <v>46</v>
      </c>
      <c r="AH15" s="332" t="str">
        <f>AH7</f>
        <v>Um/A</v>
      </c>
      <c r="AI15" s="332" t="s">
        <v>45</v>
      </c>
      <c r="AJ15" s="332" t="str">
        <f>AJ7</f>
        <v>PmO</v>
      </c>
      <c r="AK15" s="332" t="s">
        <v>49</v>
      </c>
      <c r="AL15" s="1320"/>
      <c r="AN15" s="1317"/>
      <c r="AO15" s="332" t="str">
        <f>AO7</f>
        <v>Demande mensuelle</v>
      </c>
      <c r="AP15" s="332" t="s">
        <v>44</v>
      </c>
      <c r="AQ15" s="332" t="str">
        <f>AQ7</f>
        <v>Achalandage mensuel</v>
      </c>
      <c r="AR15" s="332" t="s">
        <v>45</v>
      </c>
      <c r="AS15" s="332" t="s">
        <v>46</v>
      </c>
      <c r="AT15" s="332" t="str">
        <f>AT7</f>
        <v>Um/A</v>
      </c>
      <c r="AU15" s="332" t="s">
        <v>45</v>
      </c>
      <c r="AV15" s="332" t="str">
        <f>AV7</f>
        <v>PmO</v>
      </c>
      <c r="AW15" s="332" t="s">
        <v>49</v>
      </c>
      <c r="AX15" s="1320"/>
      <c r="AZ15" s="1317"/>
      <c r="BA15" s="332" t="str">
        <f>BA7</f>
        <v>Coût mensuel</v>
      </c>
      <c r="BB15" s="332" t="s">
        <v>44</v>
      </c>
      <c r="BC15" s="332" t="str">
        <f>G15</f>
        <v>Achalandage mensuel</v>
      </c>
      <c r="BD15" s="332" t="s">
        <v>45</v>
      </c>
      <c r="BE15" s="332" t="s">
        <v>46</v>
      </c>
      <c r="BF15" s="332" t="str">
        <f>J15</f>
        <v>Um/A</v>
      </c>
      <c r="BG15" s="332" t="s">
        <v>45</v>
      </c>
      <c r="BH15" s="332" t="str">
        <f>BH7</f>
        <v>CmO</v>
      </c>
      <c r="BI15" s="332" t="s">
        <v>49</v>
      </c>
      <c r="BJ15" s="1320"/>
      <c r="BL15" s="1317"/>
      <c r="BM15" s="332" t="str">
        <f>BM7</f>
        <v>Bénéfice mensuel</v>
      </c>
      <c r="BN15" s="332" t="s">
        <v>44</v>
      </c>
      <c r="BO15" s="332" t="str">
        <f>S15</f>
        <v>Achalandage mensuel</v>
      </c>
      <c r="BP15" s="332" t="s">
        <v>45</v>
      </c>
      <c r="BQ15" s="332" t="s">
        <v>46</v>
      </c>
      <c r="BR15" s="332" t="str">
        <f>V15</f>
        <v>Um/A</v>
      </c>
      <c r="BS15" s="332" t="s">
        <v>45</v>
      </c>
      <c r="BT15" s="332" t="str">
        <f>BT7</f>
        <v>BmO</v>
      </c>
      <c r="BU15" s="332" t="s">
        <v>49</v>
      </c>
      <c r="BV15" s="1320"/>
    </row>
    <row r="16" spans="2:74" ht="19" x14ac:dyDescent="0.25">
      <c r="B16" s="1357"/>
      <c r="C16" s="1368"/>
      <c r="D16" s="1317"/>
      <c r="E16" s="333" t="s">
        <v>2</v>
      </c>
      <c r="F16" s="334"/>
      <c r="G16" s="333"/>
      <c r="H16" s="334"/>
      <c r="I16" s="334"/>
      <c r="J16" s="334"/>
      <c r="K16" s="334"/>
      <c r="L16" s="334"/>
      <c r="M16" s="334"/>
      <c r="N16" s="1320"/>
      <c r="P16" s="1317"/>
      <c r="Q16" s="333" t="s">
        <v>2</v>
      </c>
      <c r="R16" s="334"/>
      <c r="S16" s="333"/>
      <c r="T16" s="334"/>
      <c r="U16" s="334"/>
      <c r="V16" s="334"/>
      <c r="W16" s="334"/>
      <c r="X16" s="334"/>
      <c r="Y16" s="334"/>
      <c r="Z16" s="1320"/>
      <c r="AB16" s="1317"/>
      <c r="AC16" s="333" t="s">
        <v>2</v>
      </c>
      <c r="AD16" s="334"/>
      <c r="AE16" s="333"/>
      <c r="AF16" s="334"/>
      <c r="AG16" s="334"/>
      <c r="AH16" s="334"/>
      <c r="AI16" s="334"/>
      <c r="AJ16" s="334"/>
      <c r="AK16" s="334"/>
      <c r="AL16" s="1320"/>
      <c r="AN16" s="1317"/>
      <c r="AO16" s="333" t="s">
        <v>2</v>
      </c>
      <c r="AP16" s="334"/>
      <c r="AQ16" s="333"/>
      <c r="AR16" s="334"/>
      <c r="AS16" s="334"/>
      <c r="AT16" s="334"/>
      <c r="AU16" s="334"/>
      <c r="AV16" s="334"/>
      <c r="AW16" s="334"/>
      <c r="AX16" s="1320"/>
      <c r="AZ16" s="1317"/>
      <c r="BA16" s="333" t="s">
        <v>2</v>
      </c>
      <c r="BB16" s="334"/>
      <c r="BC16" s="333"/>
      <c r="BD16" s="334"/>
      <c r="BE16" s="334"/>
      <c r="BF16" s="334"/>
      <c r="BG16" s="334"/>
      <c r="BH16" s="334"/>
      <c r="BI16" s="334"/>
      <c r="BJ16" s="1320"/>
      <c r="BL16" s="1317"/>
      <c r="BM16" s="333" t="s">
        <v>2</v>
      </c>
      <c r="BN16" s="334"/>
      <c r="BO16" s="333"/>
      <c r="BP16" s="334"/>
      <c r="BQ16" s="334"/>
      <c r="BR16" s="334"/>
      <c r="BS16" s="334"/>
      <c r="BT16" s="334"/>
      <c r="BU16" s="334"/>
      <c r="BV16" s="1320"/>
    </row>
    <row r="17" spans="2:74" ht="26" customHeight="1" x14ac:dyDescent="0.3">
      <c r="B17" s="1357"/>
      <c r="C17" s="1368"/>
      <c r="D17" s="1317"/>
      <c r="E17" s="335" t="str">
        <f>E9</f>
        <v>D</v>
      </c>
      <c r="F17" s="336"/>
      <c r="G17" s="335" t="str">
        <f>G9</f>
        <v>A</v>
      </c>
      <c r="H17" s="336"/>
      <c r="I17" s="336"/>
      <c r="J17" s="335" t="str">
        <f>+J15</f>
        <v>Um/A</v>
      </c>
      <c r="K17" s="336"/>
      <c r="L17" s="335" t="str">
        <f>+L15</f>
        <v>PmO</v>
      </c>
      <c r="M17" s="336"/>
      <c r="N17" s="1320"/>
      <c r="P17" s="1317"/>
      <c r="Q17" s="335" t="str">
        <f>Q9</f>
        <v>D</v>
      </c>
      <c r="R17" s="336"/>
      <c r="S17" s="335" t="str">
        <f>S9</f>
        <v>A</v>
      </c>
      <c r="T17" s="336"/>
      <c r="U17" s="336"/>
      <c r="V17" s="335" t="str">
        <f>+V15</f>
        <v>Um/A</v>
      </c>
      <c r="W17" s="336"/>
      <c r="X17" s="335" t="str">
        <f>+X15</f>
        <v>PmO</v>
      </c>
      <c r="Y17" s="336"/>
      <c r="Z17" s="1320"/>
      <c r="AB17" s="1317"/>
      <c r="AC17" s="335" t="str">
        <f>AC9</f>
        <v>D</v>
      </c>
      <c r="AD17" s="336"/>
      <c r="AE17" s="335" t="str">
        <f>AE9</f>
        <v>A</v>
      </c>
      <c r="AF17" s="336"/>
      <c r="AG17" s="336"/>
      <c r="AH17" s="335" t="str">
        <f>+AH15</f>
        <v>Um/A</v>
      </c>
      <c r="AI17" s="336"/>
      <c r="AJ17" s="335" t="str">
        <f>+AJ15</f>
        <v>PmO</v>
      </c>
      <c r="AK17" s="336"/>
      <c r="AL17" s="1320"/>
      <c r="AN17" s="1317"/>
      <c r="AO17" s="335" t="str">
        <f>AO9</f>
        <v>D</v>
      </c>
      <c r="AP17" s="336"/>
      <c r="AQ17" s="335" t="str">
        <f>AQ9</f>
        <v>A</v>
      </c>
      <c r="AR17" s="336"/>
      <c r="AS17" s="336"/>
      <c r="AT17" s="335" t="str">
        <f>+AT15</f>
        <v>Um/A</v>
      </c>
      <c r="AU17" s="336"/>
      <c r="AV17" s="335" t="str">
        <f>+AV15</f>
        <v>PmO</v>
      </c>
      <c r="AW17" s="336"/>
      <c r="AX17" s="1320"/>
      <c r="AZ17" s="1317"/>
      <c r="BA17" s="335" t="str">
        <f>BA9</f>
        <v xml:space="preserve">C </v>
      </c>
      <c r="BB17" s="336"/>
      <c r="BC17" s="335" t="str">
        <f>G17</f>
        <v>A</v>
      </c>
      <c r="BD17" s="336"/>
      <c r="BE17" s="336"/>
      <c r="BF17" s="335" t="str">
        <f>BF15</f>
        <v>Um/A</v>
      </c>
      <c r="BG17" s="336"/>
      <c r="BH17" s="335" t="str">
        <f>BH15</f>
        <v>CmO</v>
      </c>
      <c r="BI17" s="336"/>
      <c r="BJ17" s="1320"/>
      <c r="BL17" s="1317"/>
      <c r="BM17" s="335" t="str">
        <f>BM9</f>
        <v xml:space="preserve">B </v>
      </c>
      <c r="BN17" s="336"/>
      <c r="BO17" s="335" t="str">
        <f>S17</f>
        <v>A</v>
      </c>
      <c r="BP17" s="336"/>
      <c r="BQ17" s="336"/>
      <c r="BR17" s="335" t="str">
        <f>BR15</f>
        <v>Um/A</v>
      </c>
      <c r="BS17" s="336"/>
      <c r="BT17" s="335" t="str">
        <f>BT15</f>
        <v>BmO</v>
      </c>
      <c r="BU17" s="336"/>
      <c r="BV17" s="1320"/>
    </row>
    <row r="18" spans="2:74" ht="21" x14ac:dyDescent="0.25">
      <c r="B18" s="1357"/>
      <c r="C18" s="1368"/>
      <c r="D18" s="1317"/>
      <c r="E18" s="337">
        <f>+Q18+AC18+AO18</f>
        <v>70744.166666666672</v>
      </c>
      <c r="F18" s="332" t="s">
        <v>44</v>
      </c>
      <c r="G18" s="338">
        <f>'% Occupation'!E19</f>
        <v>3691</v>
      </c>
      <c r="H18" s="332" t="s">
        <v>45</v>
      </c>
      <c r="I18" s="332" t="s">
        <v>46</v>
      </c>
      <c r="J18" s="339">
        <f>+V18+AH18+AT18</f>
        <v>3</v>
      </c>
      <c r="K18" s="332" t="s">
        <v>45</v>
      </c>
      <c r="L18" s="340">
        <f>E18/G18/J18</f>
        <v>6.3888888888888893</v>
      </c>
      <c r="M18" s="332" t="s">
        <v>49</v>
      </c>
      <c r="N18" s="1320"/>
      <c r="P18" s="1317"/>
      <c r="Q18" s="337">
        <f>+S18*(V18*X18)</f>
        <v>35556.633333333339</v>
      </c>
      <c r="R18" s="332" t="s">
        <v>44</v>
      </c>
      <c r="S18" s="338">
        <f>G18</f>
        <v>3691</v>
      </c>
      <c r="T18" s="332" t="s">
        <v>45</v>
      </c>
      <c r="U18" s="332" t="s">
        <v>46</v>
      </c>
      <c r="V18" s="375">
        <f>V10</f>
        <v>2</v>
      </c>
      <c r="W18" s="332" t="s">
        <v>45</v>
      </c>
      <c r="X18" s="1083">
        <f>'Calcul CmO et PmO'!F64</f>
        <v>4.8166666666666673</v>
      </c>
      <c r="Y18" s="332" t="s">
        <v>49</v>
      </c>
      <c r="Z18" s="1320"/>
      <c r="AB18" s="1317"/>
      <c r="AC18" s="337">
        <f>+AE18*(AH18*AJ18)</f>
        <v>35187.533333333333</v>
      </c>
      <c r="AD18" s="332" t="s">
        <v>44</v>
      </c>
      <c r="AE18" s="338">
        <f>S18</f>
        <v>3691</v>
      </c>
      <c r="AF18" s="332" t="s">
        <v>45</v>
      </c>
      <c r="AG18" s="332" t="s">
        <v>46</v>
      </c>
      <c r="AH18" s="375">
        <f>AH10</f>
        <v>1</v>
      </c>
      <c r="AI18" s="332" t="s">
        <v>45</v>
      </c>
      <c r="AJ18" s="1235">
        <f>'Calcul CmO et PmO'!F79</f>
        <v>9.5333333333333332</v>
      </c>
      <c r="AK18" s="332" t="s">
        <v>49</v>
      </c>
      <c r="AL18" s="1320"/>
      <c r="AN18" s="1317"/>
      <c r="AO18" s="337">
        <f>+AQ18*(AT18*AV18)</f>
        <v>0</v>
      </c>
      <c r="AP18" s="332" t="s">
        <v>44</v>
      </c>
      <c r="AQ18" s="338">
        <f>AE18</f>
        <v>3691</v>
      </c>
      <c r="AR18" s="332" t="s">
        <v>45</v>
      </c>
      <c r="AS18" s="332" t="s">
        <v>46</v>
      </c>
      <c r="AT18" s="375">
        <f>AT10</f>
        <v>0</v>
      </c>
      <c r="AU18" s="332" t="s">
        <v>45</v>
      </c>
      <c r="AV18" s="376">
        <f>AV10</f>
        <v>0</v>
      </c>
      <c r="AW18" s="332" t="s">
        <v>49</v>
      </c>
      <c r="AX18" s="1320"/>
      <c r="AZ18" s="1317"/>
      <c r="BA18" s="337">
        <f>'État des Résultats'!H14-'État des Résultats'!H45</f>
        <v>68213.243656290884</v>
      </c>
      <c r="BB18" s="332" t="s">
        <v>44</v>
      </c>
      <c r="BC18" s="338">
        <f>G18</f>
        <v>3691</v>
      </c>
      <c r="BD18" s="332" t="s">
        <v>45</v>
      </c>
      <c r="BE18" s="332" t="s">
        <v>46</v>
      </c>
      <c r="BF18" s="339">
        <f>J18</f>
        <v>3</v>
      </c>
      <c r="BG18" s="332" t="s">
        <v>45</v>
      </c>
      <c r="BH18" s="340">
        <f>BA18/BC18/BF18</f>
        <v>6.1603218329532092</v>
      </c>
      <c r="BI18" s="332" t="s">
        <v>49</v>
      </c>
      <c r="BJ18" s="1320"/>
      <c r="BL18" s="1317"/>
      <c r="BM18" s="337">
        <f>'État des Résultats'!H45</f>
        <v>2530.9230103757841</v>
      </c>
      <c r="BN18" s="332" t="s">
        <v>44</v>
      </c>
      <c r="BO18" s="338">
        <f>S18</f>
        <v>3691</v>
      </c>
      <c r="BP18" s="332" t="s">
        <v>45</v>
      </c>
      <c r="BQ18" s="332" t="s">
        <v>46</v>
      </c>
      <c r="BR18" s="339">
        <f>J18</f>
        <v>3</v>
      </c>
      <c r="BS18" s="332" t="s">
        <v>45</v>
      </c>
      <c r="BT18" s="340">
        <f>BM18/BO18/BR18</f>
        <v>0.22856705593567994</v>
      </c>
      <c r="BU18" s="332" t="s">
        <v>49</v>
      </c>
      <c r="BV18" s="1320"/>
    </row>
    <row r="19" spans="2:74" ht="17" thickBot="1" x14ac:dyDescent="0.25">
      <c r="B19" s="1357"/>
      <c r="C19" s="1368"/>
      <c r="D19" s="1318"/>
      <c r="E19" s="341"/>
      <c r="F19" s="341"/>
      <c r="G19" s="341"/>
      <c r="H19" s="341"/>
      <c r="I19" s="341"/>
      <c r="J19" s="341"/>
      <c r="K19" s="341"/>
      <c r="L19" s="341"/>
      <c r="M19" s="341"/>
      <c r="N19" s="1321"/>
      <c r="P19" s="1318"/>
      <c r="Q19" s="341"/>
      <c r="R19" s="341"/>
      <c r="S19" s="341"/>
      <c r="T19" s="341"/>
      <c r="U19" s="341"/>
      <c r="V19" s="341"/>
      <c r="W19" s="341"/>
      <c r="X19" s="341"/>
      <c r="Y19" s="341"/>
      <c r="Z19" s="1321"/>
      <c r="AB19" s="1318"/>
      <c r="AC19" s="341"/>
      <c r="AD19" s="341"/>
      <c r="AE19" s="341"/>
      <c r="AF19" s="341"/>
      <c r="AG19" s="341"/>
      <c r="AH19" s="341"/>
      <c r="AI19" s="341"/>
      <c r="AJ19" s="341"/>
      <c r="AK19" s="341"/>
      <c r="AL19" s="1321"/>
      <c r="AN19" s="1318"/>
      <c r="AO19" s="341"/>
      <c r="AP19" s="341"/>
      <c r="AQ19" s="341"/>
      <c r="AR19" s="341"/>
      <c r="AS19" s="341"/>
      <c r="AT19" s="341"/>
      <c r="AU19" s="341"/>
      <c r="AV19" s="341"/>
      <c r="AW19" s="341"/>
      <c r="AX19" s="1321"/>
      <c r="AZ19" s="1318"/>
      <c r="BA19" s="341"/>
      <c r="BB19" s="341"/>
      <c r="BC19" s="341"/>
      <c r="BD19" s="341"/>
      <c r="BE19" s="341"/>
      <c r="BF19" s="341"/>
      <c r="BG19" s="341"/>
      <c r="BH19" s="341"/>
      <c r="BI19" s="341"/>
      <c r="BJ19" s="1321"/>
      <c r="BL19" s="1318"/>
      <c r="BM19" s="341"/>
      <c r="BN19" s="341"/>
      <c r="BO19" s="341"/>
      <c r="BP19" s="341"/>
      <c r="BQ19" s="341"/>
      <c r="BR19" s="341"/>
      <c r="BS19" s="341"/>
      <c r="BT19" s="341"/>
      <c r="BU19" s="341"/>
      <c r="BV19" s="1321"/>
    </row>
    <row r="20" spans="2:74" ht="5" customHeight="1" thickTop="1" thickBot="1" x14ac:dyDescent="0.2">
      <c r="B20" s="1357"/>
      <c r="C20" s="209"/>
    </row>
    <row r="21" spans="2:74" ht="17" thickTop="1" x14ac:dyDescent="0.2">
      <c r="B21" s="1357"/>
      <c r="C21" s="1368" t="s">
        <v>627</v>
      </c>
      <c r="D21" s="1316" t="s">
        <v>42</v>
      </c>
      <c r="E21" s="330"/>
      <c r="F21" s="330"/>
      <c r="G21" s="330"/>
      <c r="H21" s="330"/>
      <c r="I21" s="330"/>
      <c r="J21" s="330"/>
      <c r="K21" s="330"/>
      <c r="L21" s="330"/>
      <c r="M21" s="330"/>
      <c r="N21" s="1319" t="s">
        <v>43</v>
      </c>
      <c r="P21" s="1316" t="s">
        <v>42</v>
      </c>
      <c r="Q21" s="330"/>
      <c r="R21" s="330"/>
      <c r="S21" s="330"/>
      <c r="T21" s="330"/>
      <c r="U21" s="330"/>
      <c r="V21" s="330"/>
      <c r="W21" s="330"/>
      <c r="X21" s="330"/>
      <c r="Y21" s="330"/>
      <c r="Z21" s="1319" t="s">
        <v>43</v>
      </c>
      <c r="AB21" s="1316" t="s">
        <v>42</v>
      </c>
      <c r="AC21" s="330"/>
      <c r="AD21" s="330"/>
      <c r="AE21" s="330"/>
      <c r="AF21" s="330"/>
      <c r="AG21" s="330"/>
      <c r="AH21" s="330"/>
      <c r="AI21" s="330"/>
      <c r="AJ21" s="330"/>
      <c r="AK21" s="330"/>
      <c r="AL21" s="1319" t="s">
        <v>43</v>
      </c>
      <c r="AN21" s="1316" t="s">
        <v>42</v>
      </c>
      <c r="AO21" s="330"/>
      <c r="AP21" s="330"/>
      <c r="AQ21" s="330"/>
      <c r="AR21" s="330"/>
      <c r="AS21" s="330"/>
      <c r="AT21" s="330"/>
      <c r="AU21" s="330"/>
      <c r="AV21" s="330"/>
      <c r="AW21" s="330"/>
      <c r="AX21" s="1319" t="s">
        <v>43</v>
      </c>
      <c r="AZ21" s="1316" t="s">
        <v>42</v>
      </c>
      <c r="BA21" s="330"/>
      <c r="BB21" s="330"/>
      <c r="BC21" s="330"/>
      <c r="BD21" s="330"/>
      <c r="BE21" s="330"/>
      <c r="BF21" s="330"/>
      <c r="BG21" s="330"/>
      <c r="BH21" s="330"/>
      <c r="BI21" s="330"/>
      <c r="BJ21" s="1319" t="s">
        <v>43</v>
      </c>
      <c r="BL21" s="1316" t="s">
        <v>42</v>
      </c>
      <c r="BM21" s="330"/>
      <c r="BN21" s="330"/>
      <c r="BO21" s="330"/>
      <c r="BP21" s="330"/>
      <c r="BQ21" s="330"/>
      <c r="BR21" s="330"/>
      <c r="BS21" s="330"/>
      <c r="BT21" s="330"/>
      <c r="BU21" s="330"/>
      <c r="BV21" s="1319" t="s">
        <v>43</v>
      </c>
    </row>
    <row r="22" spans="2:74" ht="16" x14ac:dyDescent="0.2">
      <c r="B22" s="1357"/>
      <c r="C22" s="1368"/>
      <c r="D22" s="1317"/>
      <c r="E22" s="331"/>
      <c r="F22" s="331"/>
      <c r="G22" s="331"/>
      <c r="H22" s="331"/>
      <c r="I22" s="331"/>
      <c r="J22" s="331"/>
      <c r="K22" s="331"/>
      <c r="L22" s="331"/>
      <c r="M22" s="331"/>
      <c r="N22" s="1320"/>
      <c r="P22" s="1317"/>
      <c r="Q22" s="331"/>
      <c r="R22" s="331"/>
      <c r="S22" s="331"/>
      <c r="T22" s="331"/>
      <c r="U22" s="331"/>
      <c r="V22" s="331"/>
      <c r="W22" s="331"/>
      <c r="X22" s="331"/>
      <c r="Y22" s="331"/>
      <c r="Z22" s="1320"/>
      <c r="AB22" s="1317"/>
      <c r="AC22" s="331"/>
      <c r="AD22" s="331"/>
      <c r="AE22" s="331"/>
      <c r="AF22" s="331"/>
      <c r="AG22" s="331"/>
      <c r="AH22" s="331"/>
      <c r="AI22" s="331"/>
      <c r="AJ22" s="331"/>
      <c r="AK22" s="331"/>
      <c r="AL22" s="1320"/>
      <c r="AN22" s="1317"/>
      <c r="AO22" s="331"/>
      <c r="AP22" s="331"/>
      <c r="AQ22" s="331"/>
      <c r="AR22" s="331"/>
      <c r="AS22" s="331"/>
      <c r="AT22" s="331"/>
      <c r="AU22" s="331"/>
      <c r="AV22" s="331"/>
      <c r="AW22" s="331"/>
      <c r="AX22" s="1320"/>
      <c r="AZ22" s="1317"/>
      <c r="BA22" s="331"/>
      <c r="BB22" s="331"/>
      <c r="BC22" s="331"/>
      <c r="BD22" s="331"/>
      <c r="BE22" s="331"/>
      <c r="BF22" s="331"/>
      <c r="BG22" s="331"/>
      <c r="BH22" s="331"/>
      <c r="BI22" s="331"/>
      <c r="BJ22" s="1320"/>
      <c r="BL22" s="1317"/>
      <c r="BM22" s="331"/>
      <c r="BN22" s="331"/>
      <c r="BO22" s="331"/>
      <c r="BP22" s="331"/>
      <c r="BQ22" s="331"/>
      <c r="BR22" s="331"/>
      <c r="BS22" s="331"/>
      <c r="BT22" s="331"/>
      <c r="BU22" s="331"/>
      <c r="BV22" s="1320"/>
    </row>
    <row r="23" spans="2:74" ht="21" x14ac:dyDescent="0.25">
      <c r="B23" s="1357"/>
      <c r="C23" s="1368"/>
      <c r="D23" s="1317"/>
      <c r="E23" s="332" t="str">
        <f>E15</f>
        <v>Demande mensuelle</v>
      </c>
      <c r="F23" s="332" t="s">
        <v>44</v>
      </c>
      <c r="G23" s="332" t="str">
        <f>+G15</f>
        <v>Achalandage mensuel</v>
      </c>
      <c r="H23" s="332" t="s">
        <v>45</v>
      </c>
      <c r="I23" s="332" t="s">
        <v>46</v>
      </c>
      <c r="J23" s="332" t="str">
        <f>J15</f>
        <v>Um/A</v>
      </c>
      <c r="K23" s="332" t="s">
        <v>45</v>
      </c>
      <c r="L23" s="332" t="str">
        <f>L15</f>
        <v>PmO</v>
      </c>
      <c r="M23" s="332" t="s">
        <v>49</v>
      </c>
      <c r="N23" s="1320"/>
      <c r="P23" s="1317"/>
      <c r="Q23" s="332" t="str">
        <f>Q15</f>
        <v>Demande mensuelle</v>
      </c>
      <c r="R23" s="332" t="s">
        <v>44</v>
      </c>
      <c r="S23" s="332" t="str">
        <f>+S15</f>
        <v>Achalandage mensuel</v>
      </c>
      <c r="T23" s="332" t="s">
        <v>45</v>
      </c>
      <c r="U23" s="332" t="s">
        <v>46</v>
      </c>
      <c r="V23" s="332" t="str">
        <f>V15</f>
        <v>Um/A</v>
      </c>
      <c r="W23" s="332" t="s">
        <v>45</v>
      </c>
      <c r="X23" s="332" t="str">
        <f>X15</f>
        <v>PmO</v>
      </c>
      <c r="Y23" s="332" t="s">
        <v>49</v>
      </c>
      <c r="Z23" s="1320"/>
      <c r="AB23" s="1317"/>
      <c r="AC23" s="332" t="str">
        <f>AC15</f>
        <v>Demande mensuelle</v>
      </c>
      <c r="AD23" s="332" t="s">
        <v>44</v>
      </c>
      <c r="AE23" s="332" t="str">
        <f>AE15</f>
        <v>Achalandage mensuel</v>
      </c>
      <c r="AF23" s="332" t="s">
        <v>45</v>
      </c>
      <c r="AG23" s="332" t="s">
        <v>46</v>
      </c>
      <c r="AH23" s="332" t="str">
        <f>AH15</f>
        <v>Um/A</v>
      </c>
      <c r="AI23" s="332" t="s">
        <v>45</v>
      </c>
      <c r="AJ23" s="332" t="str">
        <f>AJ15</f>
        <v>PmO</v>
      </c>
      <c r="AK23" s="332" t="s">
        <v>49</v>
      </c>
      <c r="AL23" s="1320"/>
      <c r="AN23" s="1317"/>
      <c r="AO23" s="332" t="str">
        <f>AO15</f>
        <v>Demande mensuelle</v>
      </c>
      <c r="AP23" s="332" t="s">
        <v>44</v>
      </c>
      <c r="AQ23" s="332" t="str">
        <f>AQ15</f>
        <v>Achalandage mensuel</v>
      </c>
      <c r="AR23" s="332" t="s">
        <v>45</v>
      </c>
      <c r="AS23" s="332" t="s">
        <v>46</v>
      </c>
      <c r="AT23" s="332" t="str">
        <f>AT15</f>
        <v>Um/A</v>
      </c>
      <c r="AU23" s="332" t="s">
        <v>45</v>
      </c>
      <c r="AV23" s="332" t="str">
        <f>AV15</f>
        <v>PmO</v>
      </c>
      <c r="AW23" s="332" t="s">
        <v>49</v>
      </c>
      <c r="AX23" s="1320"/>
      <c r="AZ23" s="1317"/>
      <c r="BA23" s="332" t="str">
        <f>BA15</f>
        <v>Coût mensuel</v>
      </c>
      <c r="BB23" s="332" t="s">
        <v>44</v>
      </c>
      <c r="BC23" s="332" t="str">
        <f>G23</f>
        <v>Achalandage mensuel</v>
      </c>
      <c r="BD23" s="332" t="s">
        <v>45</v>
      </c>
      <c r="BE23" s="332" t="s">
        <v>46</v>
      </c>
      <c r="BF23" s="332" t="str">
        <f>J23</f>
        <v>Um/A</v>
      </c>
      <c r="BG23" s="332" t="s">
        <v>45</v>
      </c>
      <c r="BH23" s="332" t="str">
        <f>BH15</f>
        <v>CmO</v>
      </c>
      <c r="BI23" s="332" t="s">
        <v>49</v>
      </c>
      <c r="BJ23" s="1320"/>
      <c r="BL23" s="1317"/>
      <c r="BM23" s="332" t="str">
        <f>BM15</f>
        <v>Bénéfice mensuel</v>
      </c>
      <c r="BN23" s="332" t="s">
        <v>44</v>
      </c>
      <c r="BO23" s="332" t="str">
        <f>S23</f>
        <v>Achalandage mensuel</v>
      </c>
      <c r="BP23" s="332" t="s">
        <v>45</v>
      </c>
      <c r="BQ23" s="332" t="s">
        <v>46</v>
      </c>
      <c r="BR23" s="332" t="str">
        <f>V23</f>
        <v>Um/A</v>
      </c>
      <c r="BS23" s="332" t="s">
        <v>45</v>
      </c>
      <c r="BT23" s="332" t="str">
        <f>BT15</f>
        <v>BmO</v>
      </c>
      <c r="BU23" s="332" t="s">
        <v>49</v>
      </c>
      <c r="BV23" s="1320"/>
    </row>
    <row r="24" spans="2:74" ht="19" x14ac:dyDescent="0.25">
      <c r="B24" s="1357"/>
      <c r="C24" s="1368"/>
      <c r="D24" s="1317"/>
      <c r="E24" s="333" t="s">
        <v>2</v>
      </c>
      <c r="F24" s="334"/>
      <c r="G24" s="333"/>
      <c r="H24" s="334"/>
      <c r="I24" s="334"/>
      <c r="J24" s="334"/>
      <c r="K24" s="334"/>
      <c r="L24" s="334"/>
      <c r="M24" s="334"/>
      <c r="N24" s="1320"/>
      <c r="P24" s="1317"/>
      <c r="Q24" s="333" t="s">
        <v>2</v>
      </c>
      <c r="R24" s="334"/>
      <c r="S24" s="333"/>
      <c r="T24" s="334"/>
      <c r="U24" s="334"/>
      <c r="V24" s="334"/>
      <c r="W24" s="334"/>
      <c r="X24" s="334"/>
      <c r="Y24" s="334"/>
      <c r="Z24" s="1320"/>
      <c r="AB24" s="1317"/>
      <c r="AC24" s="333" t="s">
        <v>2</v>
      </c>
      <c r="AD24" s="334"/>
      <c r="AE24" s="333"/>
      <c r="AF24" s="334"/>
      <c r="AG24" s="334"/>
      <c r="AH24" s="334"/>
      <c r="AI24" s="334"/>
      <c r="AJ24" s="334"/>
      <c r="AK24" s="334"/>
      <c r="AL24" s="1320"/>
      <c r="AN24" s="1317"/>
      <c r="AO24" s="333" t="s">
        <v>2</v>
      </c>
      <c r="AP24" s="334"/>
      <c r="AQ24" s="333"/>
      <c r="AR24" s="334"/>
      <c r="AS24" s="334"/>
      <c r="AT24" s="334"/>
      <c r="AU24" s="334"/>
      <c r="AV24" s="334"/>
      <c r="AW24" s="334"/>
      <c r="AX24" s="1320"/>
      <c r="AZ24" s="1317"/>
      <c r="BA24" s="333" t="s">
        <v>2</v>
      </c>
      <c r="BB24" s="334"/>
      <c r="BC24" s="333"/>
      <c r="BD24" s="334"/>
      <c r="BE24" s="334"/>
      <c r="BF24" s="334"/>
      <c r="BG24" s="334"/>
      <c r="BH24" s="334"/>
      <c r="BI24" s="334"/>
      <c r="BJ24" s="1320"/>
      <c r="BL24" s="1317"/>
      <c r="BM24" s="333" t="s">
        <v>2</v>
      </c>
      <c r="BN24" s="334"/>
      <c r="BO24" s="333"/>
      <c r="BP24" s="334"/>
      <c r="BQ24" s="334"/>
      <c r="BR24" s="334"/>
      <c r="BS24" s="334"/>
      <c r="BT24" s="334"/>
      <c r="BU24" s="334"/>
      <c r="BV24" s="1320"/>
    </row>
    <row r="25" spans="2:74" ht="26" x14ac:dyDescent="0.3">
      <c r="B25" s="1357"/>
      <c r="C25" s="1368"/>
      <c r="D25" s="1317"/>
      <c r="E25" s="335" t="str">
        <f>E17</f>
        <v>D</v>
      </c>
      <c r="F25" s="336"/>
      <c r="G25" s="335" t="str">
        <f>G17</f>
        <v>A</v>
      </c>
      <c r="H25" s="336"/>
      <c r="I25" s="336"/>
      <c r="J25" s="335" t="str">
        <f>+J23</f>
        <v>Um/A</v>
      </c>
      <c r="K25" s="336"/>
      <c r="L25" s="335" t="str">
        <f>+L23</f>
        <v>PmO</v>
      </c>
      <c r="M25" s="336"/>
      <c r="N25" s="1320"/>
      <c r="P25" s="1317"/>
      <c r="Q25" s="335" t="str">
        <f>Q17</f>
        <v>D</v>
      </c>
      <c r="R25" s="336"/>
      <c r="S25" s="335" t="str">
        <f>S17</f>
        <v>A</v>
      </c>
      <c r="T25" s="336"/>
      <c r="U25" s="336"/>
      <c r="V25" s="335" t="str">
        <f>+V23</f>
        <v>Um/A</v>
      </c>
      <c r="W25" s="336"/>
      <c r="X25" s="335" t="str">
        <f>+X23</f>
        <v>PmO</v>
      </c>
      <c r="Y25" s="336"/>
      <c r="Z25" s="1320"/>
      <c r="AB25" s="1317"/>
      <c r="AC25" s="335" t="str">
        <f>AC17</f>
        <v>D</v>
      </c>
      <c r="AD25" s="336"/>
      <c r="AE25" s="335" t="str">
        <f>AE17</f>
        <v>A</v>
      </c>
      <c r="AF25" s="336"/>
      <c r="AG25" s="336"/>
      <c r="AH25" s="335" t="str">
        <f>+AH23</f>
        <v>Um/A</v>
      </c>
      <c r="AI25" s="336"/>
      <c r="AJ25" s="335" t="str">
        <f>+AJ23</f>
        <v>PmO</v>
      </c>
      <c r="AK25" s="336"/>
      <c r="AL25" s="1320"/>
      <c r="AN25" s="1317"/>
      <c r="AO25" s="335" t="str">
        <f>AO17</f>
        <v>D</v>
      </c>
      <c r="AP25" s="336"/>
      <c r="AQ25" s="335" t="str">
        <f>AQ17</f>
        <v>A</v>
      </c>
      <c r="AR25" s="336"/>
      <c r="AS25" s="336"/>
      <c r="AT25" s="335" t="str">
        <f>+AT23</f>
        <v>Um/A</v>
      </c>
      <c r="AU25" s="336"/>
      <c r="AV25" s="335" t="str">
        <f>+AV23</f>
        <v>PmO</v>
      </c>
      <c r="AW25" s="336"/>
      <c r="AX25" s="1320"/>
      <c r="AZ25" s="1317"/>
      <c r="BA25" s="335" t="str">
        <f>BA17</f>
        <v xml:space="preserve">C </v>
      </c>
      <c r="BB25" s="336"/>
      <c r="BC25" s="335" t="str">
        <f>G25</f>
        <v>A</v>
      </c>
      <c r="BD25" s="336"/>
      <c r="BE25" s="336"/>
      <c r="BF25" s="335" t="str">
        <f>BF23</f>
        <v>Um/A</v>
      </c>
      <c r="BG25" s="336"/>
      <c r="BH25" s="335" t="str">
        <f>BH23</f>
        <v>CmO</v>
      </c>
      <c r="BI25" s="336"/>
      <c r="BJ25" s="1320"/>
      <c r="BL25" s="1317"/>
      <c r="BM25" s="335" t="str">
        <f>BM17</f>
        <v xml:space="preserve">B </v>
      </c>
      <c r="BN25" s="336"/>
      <c r="BO25" s="335" t="str">
        <f>S25</f>
        <v>A</v>
      </c>
      <c r="BP25" s="336"/>
      <c r="BQ25" s="336"/>
      <c r="BR25" s="335" t="str">
        <f>BR23</f>
        <v>Um/A</v>
      </c>
      <c r="BS25" s="336"/>
      <c r="BT25" s="335" t="str">
        <f>BT23</f>
        <v>BmO</v>
      </c>
      <c r="BU25" s="336"/>
      <c r="BV25" s="1320"/>
    </row>
    <row r="26" spans="2:74" ht="21" x14ac:dyDescent="0.25">
      <c r="B26" s="1357"/>
      <c r="C26" s="1368"/>
      <c r="D26" s="1317"/>
      <c r="E26" s="337">
        <f>+Q26+AC26+AO26</f>
        <v>78832.5</v>
      </c>
      <c r="F26" s="332" t="s">
        <v>44</v>
      </c>
      <c r="G26" s="338">
        <f>'% Occupation'!F19</f>
        <v>4113</v>
      </c>
      <c r="H26" s="332" t="s">
        <v>45</v>
      </c>
      <c r="I26" s="332" t="s">
        <v>46</v>
      </c>
      <c r="J26" s="339">
        <f>+V26+AH26+AT26</f>
        <v>3</v>
      </c>
      <c r="K26" s="332" t="s">
        <v>45</v>
      </c>
      <c r="L26" s="340">
        <f>E26/G26/J26</f>
        <v>6.3888888888888893</v>
      </c>
      <c r="M26" s="332" t="s">
        <v>49</v>
      </c>
      <c r="N26" s="1320"/>
      <c r="P26" s="1317"/>
      <c r="Q26" s="337">
        <f>+S26*(V26*X26)</f>
        <v>39621.900000000009</v>
      </c>
      <c r="R26" s="332" t="s">
        <v>44</v>
      </c>
      <c r="S26" s="338">
        <f>G26</f>
        <v>4113</v>
      </c>
      <c r="T26" s="332" t="s">
        <v>45</v>
      </c>
      <c r="U26" s="332" t="s">
        <v>46</v>
      </c>
      <c r="V26" s="375">
        <f>V18</f>
        <v>2</v>
      </c>
      <c r="W26" s="332" t="s">
        <v>45</v>
      </c>
      <c r="X26" s="1083">
        <f>'Calcul CmO et PmO'!F107</f>
        <v>4.8166666666666673</v>
      </c>
      <c r="Y26" s="332" t="s">
        <v>49</v>
      </c>
      <c r="Z26" s="1320"/>
      <c r="AB26" s="1317"/>
      <c r="AC26" s="337">
        <f>+AE26*(AH26*AJ26)</f>
        <v>39210.6</v>
      </c>
      <c r="AD26" s="332" t="s">
        <v>44</v>
      </c>
      <c r="AE26" s="338">
        <f>S26</f>
        <v>4113</v>
      </c>
      <c r="AF26" s="332" t="s">
        <v>45</v>
      </c>
      <c r="AG26" s="332" t="s">
        <v>46</v>
      </c>
      <c r="AH26" s="375">
        <f>AH18</f>
        <v>1</v>
      </c>
      <c r="AI26" s="332" t="s">
        <v>45</v>
      </c>
      <c r="AJ26" s="1235">
        <f>'Calcul CmO et PmO'!F122</f>
        <v>9.5333333333333332</v>
      </c>
      <c r="AK26" s="332" t="s">
        <v>49</v>
      </c>
      <c r="AL26" s="1320"/>
      <c r="AN26" s="1317"/>
      <c r="AO26" s="337">
        <f>+AQ26*(AT26*AV26)</f>
        <v>0</v>
      </c>
      <c r="AP26" s="332" t="s">
        <v>44</v>
      </c>
      <c r="AQ26" s="338">
        <f>AE26</f>
        <v>4113</v>
      </c>
      <c r="AR26" s="332" t="s">
        <v>45</v>
      </c>
      <c r="AS26" s="332" t="s">
        <v>46</v>
      </c>
      <c r="AT26" s="375">
        <f>AT18</f>
        <v>0</v>
      </c>
      <c r="AU26" s="332" t="s">
        <v>45</v>
      </c>
      <c r="AV26" s="376">
        <f>AV18</f>
        <v>0</v>
      </c>
      <c r="AW26" s="332" t="s">
        <v>49</v>
      </c>
      <c r="AX26" s="1320"/>
      <c r="AZ26" s="1317"/>
      <c r="BA26" s="337">
        <f>'État des Résultats'!K14-'État des Résultats'!K45</f>
        <v>74732.584990063508</v>
      </c>
      <c r="BB26" s="332" t="s">
        <v>44</v>
      </c>
      <c r="BC26" s="338">
        <f>G26</f>
        <v>4113</v>
      </c>
      <c r="BD26" s="332" t="s">
        <v>45</v>
      </c>
      <c r="BE26" s="332" t="s">
        <v>46</v>
      </c>
      <c r="BF26" s="339">
        <f>J26</f>
        <v>3</v>
      </c>
      <c r="BG26" s="332" t="s">
        <v>45</v>
      </c>
      <c r="BH26" s="340">
        <f>BA26/BC26/BF26</f>
        <v>6.0566160134584246</v>
      </c>
      <c r="BI26" s="332" t="s">
        <v>49</v>
      </c>
      <c r="BJ26" s="1320"/>
      <c r="BL26" s="1317"/>
      <c r="BM26" s="337">
        <f>'État des Résultats'!K45</f>
        <v>4099.9150099364888</v>
      </c>
      <c r="BN26" s="332" t="s">
        <v>44</v>
      </c>
      <c r="BO26" s="338">
        <f>S26</f>
        <v>4113</v>
      </c>
      <c r="BP26" s="332" t="s">
        <v>45</v>
      </c>
      <c r="BQ26" s="332" t="s">
        <v>46</v>
      </c>
      <c r="BR26" s="339">
        <f>J26</f>
        <v>3</v>
      </c>
      <c r="BS26" s="332" t="s">
        <v>45</v>
      </c>
      <c r="BT26" s="340">
        <f>BM26/BO26/BR26</f>
        <v>0.33227287543046347</v>
      </c>
      <c r="BU26" s="332" t="s">
        <v>49</v>
      </c>
      <c r="BV26" s="1320"/>
    </row>
    <row r="27" spans="2:74" ht="17" thickBot="1" x14ac:dyDescent="0.25">
      <c r="B27" s="1358"/>
      <c r="C27" s="1368"/>
      <c r="D27" s="1318"/>
      <c r="E27" s="341"/>
      <c r="F27" s="341"/>
      <c r="G27" s="341"/>
      <c r="H27" s="341"/>
      <c r="I27" s="341"/>
      <c r="J27" s="341"/>
      <c r="K27" s="341"/>
      <c r="L27" s="341"/>
      <c r="M27" s="341"/>
      <c r="N27" s="1321"/>
      <c r="P27" s="1318"/>
      <c r="Q27" s="341"/>
      <c r="R27" s="341"/>
      <c r="S27" s="341"/>
      <c r="T27" s="341"/>
      <c r="U27" s="341"/>
      <c r="V27" s="341"/>
      <c r="W27" s="341"/>
      <c r="X27" s="341"/>
      <c r="Y27" s="341"/>
      <c r="Z27" s="1321"/>
      <c r="AB27" s="1318"/>
      <c r="AC27" s="341"/>
      <c r="AD27" s="341"/>
      <c r="AE27" s="341"/>
      <c r="AF27" s="341"/>
      <c r="AG27" s="341"/>
      <c r="AH27" s="341"/>
      <c r="AI27" s="341"/>
      <c r="AJ27" s="341"/>
      <c r="AK27" s="341"/>
      <c r="AL27" s="1321"/>
      <c r="AN27" s="1318"/>
      <c r="AO27" s="341"/>
      <c r="AP27" s="341"/>
      <c r="AQ27" s="341"/>
      <c r="AR27" s="341"/>
      <c r="AS27" s="341"/>
      <c r="AT27" s="341"/>
      <c r="AU27" s="341"/>
      <c r="AV27" s="341"/>
      <c r="AW27" s="341"/>
      <c r="AX27" s="1321"/>
      <c r="AZ27" s="1318"/>
      <c r="BA27" s="341"/>
      <c r="BB27" s="341"/>
      <c r="BC27" s="341"/>
      <c r="BD27" s="341"/>
      <c r="BE27" s="341"/>
      <c r="BF27" s="341"/>
      <c r="BG27" s="341"/>
      <c r="BH27" s="341"/>
      <c r="BI27" s="341"/>
      <c r="BJ27" s="1321"/>
      <c r="BL27" s="1318"/>
      <c r="BM27" s="341"/>
      <c r="BN27" s="341"/>
      <c r="BO27" s="341"/>
      <c r="BP27" s="341"/>
      <c r="BQ27" s="341"/>
      <c r="BR27" s="341"/>
      <c r="BS27" s="341"/>
      <c r="BT27" s="341"/>
      <c r="BU27" s="341"/>
      <c r="BV27" s="1321"/>
    </row>
    <row r="28" spans="2:74" ht="10" customHeight="1" thickBot="1" x14ac:dyDescent="0.25">
      <c r="C28" s="209"/>
      <c r="P28" s="162" t="s">
        <v>2</v>
      </c>
      <c r="AB28" s="162" t="s">
        <v>2</v>
      </c>
      <c r="AN28" s="162" t="s">
        <v>2</v>
      </c>
    </row>
    <row r="29" spans="2:74" ht="17" thickTop="1" x14ac:dyDescent="0.2">
      <c r="B29" s="1359">
        <v>2</v>
      </c>
      <c r="C29" s="1368" t="s">
        <v>50</v>
      </c>
      <c r="D29" s="1322" t="s">
        <v>42</v>
      </c>
      <c r="E29" s="342"/>
      <c r="F29" s="342"/>
      <c r="G29" s="342"/>
      <c r="H29" s="342"/>
      <c r="I29" s="342"/>
      <c r="J29" s="342"/>
      <c r="K29" s="342"/>
      <c r="L29" s="342"/>
      <c r="M29" s="342"/>
      <c r="N29" s="1325" t="s">
        <v>43</v>
      </c>
      <c r="P29" s="1322" t="s">
        <v>42</v>
      </c>
      <c r="Q29" s="342"/>
      <c r="R29" s="342"/>
      <c r="S29" s="342"/>
      <c r="T29" s="342"/>
      <c r="U29" s="342"/>
      <c r="V29" s="342"/>
      <c r="W29" s="342"/>
      <c r="X29" s="342"/>
      <c r="Y29" s="342"/>
      <c r="Z29" s="1325" t="s">
        <v>43</v>
      </c>
      <c r="AB29" s="1322" t="s">
        <v>42</v>
      </c>
      <c r="AC29" s="342"/>
      <c r="AD29" s="342"/>
      <c r="AE29" s="342"/>
      <c r="AF29" s="342"/>
      <c r="AG29" s="342"/>
      <c r="AH29" s="342"/>
      <c r="AI29" s="342"/>
      <c r="AJ29" s="342"/>
      <c r="AK29" s="342"/>
      <c r="AL29" s="1325" t="s">
        <v>43</v>
      </c>
      <c r="AN29" s="1322" t="s">
        <v>42</v>
      </c>
      <c r="AO29" s="342"/>
      <c r="AP29" s="342"/>
      <c r="AQ29" s="342"/>
      <c r="AR29" s="342"/>
      <c r="AS29" s="342"/>
      <c r="AT29" s="342"/>
      <c r="AU29" s="342"/>
      <c r="AV29" s="342"/>
      <c r="AW29" s="342"/>
      <c r="AX29" s="1325" t="s">
        <v>43</v>
      </c>
      <c r="AZ29" s="1322" t="s">
        <v>42</v>
      </c>
      <c r="BA29" s="342"/>
      <c r="BB29" s="342"/>
      <c r="BC29" s="342"/>
      <c r="BD29" s="342"/>
      <c r="BE29" s="342"/>
      <c r="BF29" s="342"/>
      <c r="BG29" s="342"/>
      <c r="BH29" s="342"/>
      <c r="BI29" s="342"/>
      <c r="BJ29" s="1325" t="s">
        <v>43</v>
      </c>
      <c r="BL29" s="1322" t="s">
        <v>42</v>
      </c>
      <c r="BM29" s="342"/>
      <c r="BN29" s="342"/>
      <c r="BO29" s="342"/>
      <c r="BP29" s="342"/>
      <c r="BQ29" s="342"/>
      <c r="BR29" s="342"/>
      <c r="BS29" s="342"/>
      <c r="BT29" s="342"/>
      <c r="BU29" s="342"/>
      <c r="BV29" s="1325" t="s">
        <v>43</v>
      </c>
    </row>
    <row r="30" spans="2:74" ht="16" x14ac:dyDescent="0.2">
      <c r="B30" s="1360"/>
      <c r="C30" s="1368"/>
      <c r="D30" s="1323"/>
      <c r="E30" s="343"/>
      <c r="F30" s="343"/>
      <c r="G30" s="343"/>
      <c r="H30" s="343"/>
      <c r="I30" s="343"/>
      <c r="J30" s="343"/>
      <c r="K30" s="343"/>
      <c r="L30" s="343"/>
      <c r="M30" s="343"/>
      <c r="N30" s="1326"/>
      <c r="P30" s="1323"/>
      <c r="Q30" s="343"/>
      <c r="R30" s="343"/>
      <c r="S30" s="343"/>
      <c r="T30" s="343"/>
      <c r="U30" s="343"/>
      <c r="V30" s="343"/>
      <c r="W30" s="343"/>
      <c r="X30" s="343"/>
      <c r="Y30" s="343"/>
      <c r="Z30" s="1326"/>
      <c r="AB30" s="1323"/>
      <c r="AC30" s="343"/>
      <c r="AD30" s="343"/>
      <c r="AE30" s="343"/>
      <c r="AF30" s="343"/>
      <c r="AG30" s="343"/>
      <c r="AH30" s="343"/>
      <c r="AI30" s="343"/>
      <c r="AJ30" s="343"/>
      <c r="AK30" s="343"/>
      <c r="AL30" s="1326"/>
      <c r="AN30" s="1323"/>
      <c r="AO30" s="343"/>
      <c r="AP30" s="343"/>
      <c r="AQ30" s="343"/>
      <c r="AR30" s="343"/>
      <c r="AS30" s="343"/>
      <c r="AT30" s="343"/>
      <c r="AU30" s="343"/>
      <c r="AV30" s="343"/>
      <c r="AW30" s="343"/>
      <c r="AX30" s="1326"/>
      <c r="AZ30" s="1323"/>
      <c r="BA30" s="343"/>
      <c r="BB30" s="343"/>
      <c r="BC30" s="343"/>
      <c r="BD30" s="343"/>
      <c r="BE30" s="343"/>
      <c r="BF30" s="343"/>
      <c r="BG30" s="343"/>
      <c r="BH30" s="343"/>
      <c r="BI30" s="343"/>
      <c r="BJ30" s="1326"/>
      <c r="BL30" s="1323"/>
      <c r="BM30" s="343"/>
      <c r="BN30" s="343"/>
      <c r="BO30" s="343"/>
      <c r="BP30" s="343"/>
      <c r="BQ30" s="343"/>
      <c r="BR30" s="343"/>
      <c r="BS30" s="343"/>
      <c r="BT30" s="343"/>
      <c r="BU30" s="343"/>
      <c r="BV30" s="1326"/>
    </row>
    <row r="31" spans="2:74" ht="21" x14ac:dyDescent="0.25">
      <c r="B31" s="1360"/>
      <c r="C31" s="1368"/>
      <c r="D31" s="1323"/>
      <c r="E31" s="344" t="str">
        <f>E23</f>
        <v>Demande mensuelle</v>
      </c>
      <c r="F31" s="344" t="s">
        <v>44</v>
      </c>
      <c r="G31" s="344" t="str">
        <f>G23</f>
        <v>Achalandage mensuel</v>
      </c>
      <c r="H31" s="344" t="s">
        <v>45</v>
      </c>
      <c r="I31" s="344" t="s">
        <v>46</v>
      </c>
      <c r="J31" s="344" t="str">
        <f>J23</f>
        <v>Um/A</v>
      </c>
      <c r="K31" s="344" t="s">
        <v>45</v>
      </c>
      <c r="L31" s="344" t="str">
        <f>L23</f>
        <v>PmO</v>
      </c>
      <c r="M31" s="344" t="s">
        <v>49</v>
      </c>
      <c r="N31" s="1326"/>
      <c r="P31" s="1323"/>
      <c r="Q31" s="344" t="str">
        <f>Q23</f>
        <v>Demande mensuelle</v>
      </c>
      <c r="R31" s="344" t="s">
        <v>44</v>
      </c>
      <c r="S31" s="344" t="str">
        <f>S23</f>
        <v>Achalandage mensuel</v>
      </c>
      <c r="T31" s="344" t="s">
        <v>45</v>
      </c>
      <c r="U31" s="344" t="s">
        <v>46</v>
      </c>
      <c r="V31" s="344" t="str">
        <f>V23</f>
        <v>Um/A</v>
      </c>
      <c r="W31" s="344" t="s">
        <v>45</v>
      </c>
      <c r="X31" s="344" t="str">
        <f>X23</f>
        <v>PmO</v>
      </c>
      <c r="Y31" s="344" t="s">
        <v>49</v>
      </c>
      <c r="Z31" s="1326"/>
      <c r="AB31" s="1323"/>
      <c r="AC31" s="344" t="str">
        <f>AC23</f>
        <v>Demande mensuelle</v>
      </c>
      <c r="AD31" s="344" t="s">
        <v>44</v>
      </c>
      <c r="AE31" s="344" t="str">
        <f>AE23</f>
        <v>Achalandage mensuel</v>
      </c>
      <c r="AF31" s="344" t="s">
        <v>45</v>
      </c>
      <c r="AG31" s="344" t="s">
        <v>46</v>
      </c>
      <c r="AH31" s="344" t="str">
        <f>AH23</f>
        <v>Um/A</v>
      </c>
      <c r="AI31" s="344" t="s">
        <v>45</v>
      </c>
      <c r="AJ31" s="344" t="str">
        <f>AJ23</f>
        <v>PmO</v>
      </c>
      <c r="AK31" s="344" t="s">
        <v>49</v>
      </c>
      <c r="AL31" s="1326"/>
      <c r="AN31" s="1323"/>
      <c r="AO31" s="344" t="str">
        <f>AO23</f>
        <v>Demande mensuelle</v>
      </c>
      <c r="AP31" s="344" t="s">
        <v>44</v>
      </c>
      <c r="AQ31" s="344" t="str">
        <f>AQ23</f>
        <v>Achalandage mensuel</v>
      </c>
      <c r="AR31" s="344" t="s">
        <v>45</v>
      </c>
      <c r="AS31" s="344" t="s">
        <v>46</v>
      </c>
      <c r="AT31" s="344" t="str">
        <f>AT23</f>
        <v>Um/A</v>
      </c>
      <c r="AU31" s="344" t="s">
        <v>45</v>
      </c>
      <c r="AV31" s="344" t="str">
        <f>AV23</f>
        <v>PmO</v>
      </c>
      <c r="AW31" s="344" t="s">
        <v>49</v>
      </c>
      <c r="AX31" s="1326"/>
      <c r="AZ31" s="1323"/>
      <c r="BA31" s="344" t="str">
        <f>BA23</f>
        <v>Coût mensuel</v>
      </c>
      <c r="BB31" s="344" t="s">
        <v>44</v>
      </c>
      <c r="BC31" s="344" t="str">
        <f>BC23</f>
        <v>Achalandage mensuel</v>
      </c>
      <c r="BD31" s="344" t="s">
        <v>45</v>
      </c>
      <c r="BE31" s="344" t="s">
        <v>46</v>
      </c>
      <c r="BF31" s="344" t="str">
        <f>BF23</f>
        <v>Um/A</v>
      </c>
      <c r="BG31" s="344" t="s">
        <v>45</v>
      </c>
      <c r="BH31" s="344" t="str">
        <f>BH23</f>
        <v>CmO</v>
      </c>
      <c r="BI31" s="344" t="s">
        <v>49</v>
      </c>
      <c r="BJ31" s="1326"/>
      <c r="BL31" s="1323"/>
      <c r="BM31" s="344" t="str">
        <f>BM23</f>
        <v>Bénéfice mensuel</v>
      </c>
      <c r="BN31" s="344" t="s">
        <v>44</v>
      </c>
      <c r="BO31" s="344" t="str">
        <f>BO23</f>
        <v>Achalandage mensuel</v>
      </c>
      <c r="BP31" s="344" t="s">
        <v>45</v>
      </c>
      <c r="BQ31" s="344" t="s">
        <v>46</v>
      </c>
      <c r="BR31" s="344" t="str">
        <f>BR23</f>
        <v>Um/A</v>
      </c>
      <c r="BS31" s="344" t="s">
        <v>45</v>
      </c>
      <c r="BT31" s="344" t="str">
        <f>BT23</f>
        <v>BmO</v>
      </c>
      <c r="BU31" s="344" t="s">
        <v>49</v>
      </c>
      <c r="BV31" s="1326"/>
    </row>
    <row r="32" spans="2:74" ht="19" x14ac:dyDescent="0.25">
      <c r="B32" s="1360"/>
      <c r="C32" s="1368"/>
      <c r="D32" s="1323"/>
      <c r="E32" s="345" t="s">
        <v>2</v>
      </c>
      <c r="F32" s="346"/>
      <c r="G32" s="345"/>
      <c r="H32" s="346"/>
      <c r="I32" s="346"/>
      <c r="J32" s="346"/>
      <c r="K32" s="346"/>
      <c r="L32" s="346"/>
      <c r="M32" s="346"/>
      <c r="N32" s="1326"/>
      <c r="P32" s="1323"/>
      <c r="Q32" s="345" t="s">
        <v>2</v>
      </c>
      <c r="R32" s="346"/>
      <c r="S32" s="345"/>
      <c r="T32" s="346"/>
      <c r="U32" s="346"/>
      <c r="V32" s="346"/>
      <c r="W32" s="346"/>
      <c r="X32" s="346"/>
      <c r="Y32" s="346"/>
      <c r="Z32" s="1326"/>
      <c r="AB32" s="1323"/>
      <c r="AC32" s="345" t="s">
        <v>2</v>
      </c>
      <c r="AD32" s="346"/>
      <c r="AE32" s="345"/>
      <c r="AF32" s="346"/>
      <c r="AG32" s="346"/>
      <c r="AH32" s="346"/>
      <c r="AI32" s="346"/>
      <c r="AJ32" s="346"/>
      <c r="AK32" s="346"/>
      <c r="AL32" s="1326"/>
      <c r="AN32" s="1323"/>
      <c r="AO32" s="345" t="s">
        <v>2</v>
      </c>
      <c r="AP32" s="346"/>
      <c r="AQ32" s="345"/>
      <c r="AR32" s="346"/>
      <c r="AS32" s="346"/>
      <c r="AT32" s="346"/>
      <c r="AU32" s="346"/>
      <c r="AV32" s="346"/>
      <c r="AW32" s="346"/>
      <c r="AX32" s="1326"/>
      <c r="AZ32" s="1323"/>
      <c r="BA32" s="345" t="s">
        <v>2</v>
      </c>
      <c r="BB32" s="346"/>
      <c r="BC32" s="345"/>
      <c r="BD32" s="346"/>
      <c r="BE32" s="346"/>
      <c r="BF32" s="346"/>
      <c r="BG32" s="346"/>
      <c r="BH32" s="346"/>
      <c r="BI32" s="346"/>
      <c r="BJ32" s="1326"/>
      <c r="BL32" s="1323"/>
      <c r="BM32" s="345" t="s">
        <v>2</v>
      </c>
      <c r="BN32" s="346"/>
      <c r="BO32" s="345"/>
      <c r="BP32" s="346"/>
      <c r="BQ32" s="346"/>
      <c r="BR32" s="346"/>
      <c r="BS32" s="346"/>
      <c r="BT32" s="346"/>
      <c r="BU32" s="346"/>
      <c r="BV32" s="1326"/>
    </row>
    <row r="33" spans="2:74" ht="26" x14ac:dyDescent="0.3">
      <c r="B33" s="1360"/>
      <c r="C33" s="1368"/>
      <c r="D33" s="1323"/>
      <c r="E33" s="347" t="str">
        <f>E25</f>
        <v>D</v>
      </c>
      <c r="F33" s="348"/>
      <c r="G33" s="347" t="str">
        <f>G25</f>
        <v>A</v>
      </c>
      <c r="H33" s="348"/>
      <c r="I33" s="348"/>
      <c r="J33" s="347" t="str">
        <f>+J31</f>
        <v>Um/A</v>
      </c>
      <c r="K33" s="348"/>
      <c r="L33" s="347" t="str">
        <f>+L31</f>
        <v>PmO</v>
      </c>
      <c r="M33" s="348"/>
      <c r="N33" s="1326"/>
      <c r="P33" s="1323"/>
      <c r="Q33" s="347" t="str">
        <f>Q25</f>
        <v>D</v>
      </c>
      <c r="R33" s="348"/>
      <c r="S33" s="347" t="str">
        <f>S25</f>
        <v>A</v>
      </c>
      <c r="T33" s="348"/>
      <c r="U33" s="348"/>
      <c r="V33" s="347" t="str">
        <f>+V31</f>
        <v>Um/A</v>
      </c>
      <c r="W33" s="348"/>
      <c r="X33" s="347" t="str">
        <f>+X31</f>
        <v>PmO</v>
      </c>
      <c r="Y33" s="348"/>
      <c r="Z33" s="1326"/>
      <c r="AB33" s="1323"/>
      <c r="AC33" s="347" t="str">
        <f>AC25</f>
        <v>D</v>
      </c>
      <c r="AD33" s="348"/>
      <c r="AE33" s="347" t="str">
        <f>AE25</f>
        <v>A</v>
      </c>
      <c r="AF33" s="348"/>
      <c r="AG33" s="348"/>
      <c r="AH33" s="347" t="str">
        <f>+AH31</f>
        <v>Um/A</v>
      </c>
      <c r="AI33" s="348"/>
      <c r="AJ33" s="347" t="str">
        <f>+AJ31</f>
        <v>PmO</v>
      </c>
      <c r="AK33" s="348"/>
      <c r="AL33" s="1326"/>
      <c r="AN33" s="1323"/>
      <c r="AO33" s="347" t="str">
        <f>AO25</f>
        <v>D</v>
      </c>
      <c r="AP33" s="348"/>
      <c r="AQ33" s="347" t="str">
        <f>AQ25</f>
        <v>A</v>
      </c>
      <c r="AR33" s="348"/>
      <c r="AS33" s="348"/>
      <c r="AT33" s="347" t="str">
        <f>+AT31</f>
        <v>Um/A</v>
      </c>
      <c r="AU33" s="348"/>
      <c r="AV33" s="347" t="str">
        <f>+AV31</f>
        <v>PmO</v>
      </c>
      <c r="AW33" s="348"/>
      <c r="AX33" s="1326"/>
      <c r="AZ33" s="1323"/>
      <c r="BA33" s="347" t="str">
        <f>BA25</f>
        <v xml:space="preserve">C </v>
      </c>
      <c r="BB33" s="348"/>
      <c r="BC33" s="347" t="str">
        <f>BC25</f>
        <v>A</v>
      </c>
      <c r="BD33" s="348"/>
      <c r="BE33" s="348"/>
      <c r="BF33" s="347" t="str">
        <f>+BF31</f>
        <v>Um/A</v>
      </c>
      <c r="BG33" s="348"/>
      <c r="BH33" s="347" t="str">
        <f>+BH31</f>
        <v>CmO</v>
      </c>
      <c r="BI33" s="348"/>
      <c r="BJ33" s="1326"/>
      <c r="BL33" s="1323"/>
      <c r="BM33" s="347" t="str">
        <f>BM25</f>
        <v xml:space="preserve">B </v>
      </c>
      <c r="BN33" s="348"/>
      <c r="BO33" s="347" t="str">
        <f>BO25</f>
        <v>A</v>
      </c>
      <c r="BP33" s="348"/>
      <c r="BQ33" s="348"/>
      <c r="BR33" s="347" t="str">
        <f>+BR31</f>
        <v>Um/A</v>
      </c>
      <c r="BS33" s="348"/>
      <c r="BT33" s="347" t="str">
        <f>+BT31</f>
        <v>BmO</v>
      </c>
      <c r="BU33" s="348"/>
      <c r="BV33" s="1326"/>
    </row>
    <row r="34" spans="2:74" ht="21" x14ac:dyDescent="0.25">
      <c r="B34" s="1360"/>
      <c r="C34" s="1368"/>
      <c r="D34" s="1323"/>
      <c r="E34" s="337">
        <f>+Q34+AC34+AO34</f>
        <v>82738.017500000002</v>
      </c>
      <c r="F34" s="344" t="s">
        <v>44</v>
      </c>
      <c r="G34" s="338">
        <f>'% Occupation'!G19</f>
        <v>4161</v>
      </c>
      <c r="H34" s="344" t="s">
        <v>45</v>
      </c>
      <c r="I34" s="344" t="s">
        <v>46</v>
      </c>
      <c r="J34" s="339">
        <f>+V34+AH34+AT34</f>
        <v>3.0999999999999996</v>
      </c>
      <c r="K34" s="344" t="s">
        <v>45</v>
      </c>
      <c r="L34" s="340">
        <f>E34/G34/J34</f>
        <v>6.4142473118279577</v>
      </c>
      <c r="M34" s="344" t="s">
        <v>49</v>
      </c>
      <c r="N34" s="1326"/>
      <c r="P34" s="1323"/>
      <c r="Q34" s="337">
        <f>+S34*(V34*X34)</f>
        <v>41086.407500000001</v>
      </c>
      <c r="R34" s="344" t="s">
        <v>44</v>
      </c>
      <c r="S34" s="338">
        <f>G34</f>
        <v>4161</v>
      </c>
      <c r="T34" s="344" t="s">
        <v>45</v>
      </c>
      <c r="U34" s="344" t="s">
        <v>46</v>
      </c>
      <c r="V34" s="375">
        <v>2.0499999999999998</v>
      </c>
      <c r="W34" s="344" t="s">
        <v>45</v>
      </c>
      <c r="X34" s="1083">
        <f>'Calcul CmO et PmO'!F150</f>
        <v>4.8166666666666673</v>
      </c>
      <c r="Y34" s="344" t="s">
        <v>49</v>
      </c>
      <c r="Z34" s="1326"/>
      <c r="AB34" s="1323"/>
      <c r="AC34" s="337">
        <f>+AE34*(AH34*AJ34)</f>
        <v>41651.61</v>
      </c>
      <c r="AD34" s="344" t="s">
        <v>44</v>
      </c>
      <c r="AE34" s="338">
        <f>S34</f>
        <v>4161</v>
      </c>
      <c r="AF34" s="344" t="s">
        <v>45</v>
      </c>
      <c r="AG34" s="344" t="s">
        <v>46</v>
      </c>
      <c r="AH34" s="375">
        <v>1.05</v>
      </c>
      <c r="AI34" s="344" t="s">
        <v>45</v>
      </c>
      <c r="AJ34" s="1235">
        <f>'Calcul CmO et PmO'!F165</f>
        <v>9.5333333333333332</v>
      </c>
      <c r="AK34" s="344" t="s">
        <v>49</v>
      </c>
      <c r="AL34" s="1326"/>
      <c r="AN34" s="1323"/>
      <c r="AO34" s="337">
        <f>+AQ34*(AT34*AV34)</f>
        <v>0</v>
      </c>
      <c r="AP34" s="344" t="s">
        <v>44</v>
      </c>
      <c r="AQ34" s="338">
        <f>AE34</f>
        <v>4161</v>
      </c>
      <c r="AR34" s="344" t="s">
        <v>45</v>
      </c>
      <c r="AS34" s="344" t="s">
        <v>46</v>
      </c>
      <c r="AT34" s="375">
        <f>AT26</f>
        <v>0</v>
      </c>
      <c r="AU34" s="344" t="s">
        <v>45</v>
      </c>
      <c r="AV34" s="376">
        <f>AV26</f>
        <v>0</v>
      </c>
      <c r="AW34" s="344" t="s">
        <v>49</v>
      </c>
      <c r="AX34" s="1326"/>
      <c r="AZ34" s="1323"/>
      <c r="BA34" s="337">
        <f>'État des Résultats'!N14-'État des Résultats'!N45</f>
        <v>77880.501948751626</v>
      </c>
      <c r="BB34" s="344" t="s">
        <v>44</v>
      </c>
      <c r="BC34" s="338">
        <f>G34</f>
        <v>4161</v>
      </c>
      <c r="BD34" s="344" t="s">
        <v>45</v>
      </c>
      <c r="BE34" s="344" t="s">
        <v>46</v>
      </c>
      <c r="BF34" s="339">
        <f>J34</f>
        <v>3.0999999999999996</v>
      </c>
      <c r="BG34" s="344" t="s">
        <v>45</v>
      </c>
      <c r="BH34" s="340">
        <f>BA34/BC34/BF34</f>
        <v>6.0376694458335569</v>
      </c>
      <c r="BI34" s="344" t="s">
        <v>49</v>
      </c>
      <c r="BJ34" s="1326"/>
      <c r="BL34" s="1323"/>
      <c r="BM34" s="337">
        <f>'État des Résultats'!N45</f>
        <v>4857.5155512483725</v>
      </c>
      <c r="BN34" s="344" t="s">
        <v>44</v>
      </c>
      <c r="BO34" s="338">
        <f>S34</f>
        <v>4161</v>
      </c>
      <c r="BP34" s="344" t="s">
        <v>45</v>
      </c>
      <c r="BQ34" s="344" t="s">
        <v>46</v>
      </c>
      <c r="BR34" s="339">
        <f>J34</f>
        <v>3.0999999999999996</v>
      </c>
      <c r="BS34" s="344" t="s">
        <v>45</v>
      </c>
      <c r="BT34" s="340">
        <f>BM34/BO34/BR34</f>
        <v>0.37657786599440063</v>
      </c>
      <c r="BU34" s="344" t="s">
        <v>49</v>
      </c>
      <c r="BV34" s="1326"/>
    </row>
    <row r="35" spans="2:74" ht="17" thickBot="1" x14ac:dyDescent="0.25">
      <c r="B35" s="1360"/>
      <c r="C35" s="1368"/>
      <c r="D35" s="1324"/>
      <c r="E35" s="349"/>
      <c r="F35" s="349"/>
      <c r="G35" s="349"/>
      <c r="H35" s="349"/>
      <c r="I35" s="349"/>
      <c r="J35" s="349"/>
      <c r="K35" s="349"/>
      <c r="L35" s="349"/>
      <c r="M35" s="349"/>
      <c r="N35" s="1327"/>
      <c r="P35" s="1324"/>
      <c r="Q35" s="349"/>
      <c r="R35" s="349"/>
      <c r="S35" s="349"/>
      <c r="T35" s="349"/>
      <c r="U35" s="349"/>
      <c r="V35" s="349"/>
      <c r="W35" s="349"/>
      <c r="X35" s="349"/>
      <c r="Y35" s="349"/>
      <c r="Z35" s="1327"/>
      <c r="AB35" s="1324"/>
      <c r="AC35" s="349"/>
      <c r="AD35" s="349"/>
      <c r="AE35" s="349"/>
      <c r="AF35" s="349"/>
      <c r="AG35" s="349"/>
      <c r="AH35" s="349"/>
      <c r="AI35" s="349"/>
      <c r="AJ35" s="1236"/>
      <c r="AK35" s="349"/>
      <c r="AL35" s="1327"/>
      <c r="AN35" s="1324"/>
      <c r="AO35" s="349"/>
      <c r="AP35" s="349"/>
      <c r="AQ35" s="349"/>
      <c r="AR35" s="349"/>
      <c r="AS35" s="349"/>
      <c r="AT35" s="349"/>
      <c r="AU35" s="349"/>
      <c r="AV35" s="349"/>
      <c r="AW35" s="349"/>
      <c r="AX35" s="1327"/>
      <c r="AZ35" s="1324"/>
      <c r="BA35" s="349"/>
      <c r="BB35" s="349"/>
      <c r="BC35" s="349"/>
      <c r="BD35" s="349"/>
      <c r="BE35" s="349"/>
      <c r="BF35" s="349"/>
      <c r="BG35" s="349"/>
      <c r="BH35" s="349"/>
      <c r="BI35" s="349"/>
      <c r="BJ35" s="1327"/>
      <c r="BL35" s="1324"/>
      <c r="BM35" s="349"/>
      <c r="BN35" s="349"/>
      <c r="BO35" s="349"/>
      <c r="BP35" s="349"/>
      <c r="BQ35" s="349"/>
      <c r="BR35" s="349"/>
      <c r="BS35" s="349"/>
      <c r="BT35" s="349"/>
      <c r="BU35" s="349"/>
      <c r="BV35" s="1327"/>
    </row>
    <row r="36" spans="2:74" ht="5" customHeight="1" thickTop="1" thickBot="1" x14ac:dyDescent="0.2">
      <c r="B36" s="1360"/>
      <c r="C36" s="209"/>
      <c r="AJ36" s="1237"/>
    </row>
    <row r="37" spans="2:74" ht="17" thickTop="1" x14ac:dyDescent="0.2">
      <c r="B37" s="1360"/>
      <c r="C37" s="1368" t="s">
        <v>627</v>
      </c>
      <c r="D37" s="1322" t="s">
        <v>42</v>
      </c>
      <c r="E37" s="342"/>
      <c r="F37" s="342"/>
      <c r="G37" s="342"/>
      <c r="H37" s="342"/>
      <c r="I37" s="342"/>
      <c r="J37" s="342"/>
      <c r="K37" s="342"/>
      <c r="L37" s="342"/>
      <c r="M37" s="342"/>
      <c r="N37" s="1325" t="s">
        <v>43</v>
      </c>
      <c r="P37" s="1322" t="s">
        <v>42</v>
      </c>
      <c r="Q37" s="342"/>
      <c r="R37" s="342"/>
      <c r="S37" s="342"/>
      <c r="T37" s="342"/>
      <c r="U37" s="342"/>
      <c r="V37" s="342"/>
      <c r="W37" s="342"/>
      <c r="X37" s="342"/>
      <c r="Y37" s="342"/>
      <c r="Z37" s="1325" t="s">
        <v>43</v>
      </c>
      <c r="AB37" s="1322" t="s">
        <v>42</v>
      </c>
      <c r="AC37" s="342"/>
      <c r="AD37" s="342"/>
      <c r="AE37" s="342"/>
      <c r="AF37" s="342"/>
      <c r="AG37" s="342"/>
      <c r="AH37" s="342"/>
      <c r="AI37" s="342"/>
      <c r="AJ37" s="1238"/>
      <c r="AK37" s="342"/>
      <c r="AL37" s="1325" t="s">
        <v>43</v>
      </c>
      <c r="AN37" s="1322" t="s">
        <v>42</v>
      </c>
      <c r="AO37" s="342"/>
      <c r="AP37" s="342"/>
      <c r="AQ37" s="342"/>
      <c r="AR37" s="342"/>
      <c r="AS37" s="342"/>
      <c r="AT37" s="342"/>
      <c r="AU37" s="342"/>
      <c r="AV37" s="342"/>
      <c r="AW37" s="342"/>
      <c r="AX37" s="1325" t="s">
        <v>43</v>
      </c>
      <c r="AZ37" s="1322" t="s">
        <v>42</v>
      </c>
      <c r="BA37" s="342"/>
      <c r="BB37" s="342"/>
      <c r="BC37" s="342"/>
      <c r="BD37" s="342"/>
      <c r="BE37" s="342"/>
      <c r="BF37" s="342"/>
      <c r="BG37" s="342"/>
      <c r="BH37" s="342"/>
      <c r="BI37" s="342"/>
      <c r="BJ37" s="1325" t="s">
        <v>43</v>
      </c>
      <c r="BL37" s="1322" t="s">
        <v>42</v>
      </c>
      <c r="BM37" s="342"/>
      <c r="BN37" s="342"/>
      <c r="BO37" s="342"/>
      <c r="BP37" s="342"/>
      <c r="BQ37" s="342"/>
      <c r="BR37" s="342"/>
      <c r="BS37" s="342"/>
      <c r="BT37" s="342"/>
      <c r="BU37" s="342"/>
      <c r="BV37" s="1325" t="s">
        <v>43</v>
      </c>
    </row>
    <row r="38" spans="2:74" ht="16" x14ac:dyDescent="0.2">
      <c r="B38" s="1360"/>
      <c r="C38" s="1368"/>
      <c r="D38" s="1323"/>
      <c r="E38" s="343"/>
      <c r="F38" s="343"/>
      <c r="G38" s="343"/>
      <c r="H38" s="343"/>
      <c r="I38" s="343"/>
      <c r="J38" s="343"/>
      <c r="K38" s="343"/>
      <c r="L38" s="343"/>
      <c r="M38" s="343"/>
      <c r="N38" s="1326"/>
      <c r="P38" s="1323"/>
      <c r="Q38" s="343"/>
      <c r="R38" s="343"/>
      <c r="S38" s="343"/>
      <c r="T38" s="343"/>
      <c r="U38" s="343"/>
      <c r="V38" s="343"/>
      <c r="W38" s="343"/>
      <c r="X38" s="343"/>
      <c r="Y38" s="343"/>
      <c r="Z38" s="1326"/>
      <c r="AB38" s="1323"/>
      <c r="AC38" s="343"/>
      <c r="AD38" s="343"/>
      <c r="AE38" s="343"/>
      <c r="AF38" s="343"/>
      <c r="AG38" s="343"/>
      <c r="AH38" s="343"/>
      <c r="AI38" s="343"/>
      <c r="AJ38" s="1239"/>
      <c r="AK38" s="343"/>
      <c r="AL38" s="1326"/>
      <c r="AN38" s="1323"/>
      <c r="AO38" s="343"/>
      <c r="AP38" s="343"/>
      <c r="AQ38" s="343"/>
      <c r="AR38" s="343"/>
      <c r="AS38" s="343"/>
      <c r="AT38" s="343"/>
      <c r="AU38" s="343"/>
      <c r="AV38" s="343"/>
      <c r="AW38" s="343"/>
      <c r="AX38" s="1326"/>
      <c r="AZ38" s="1323"/>
      <c r="BA38" s="343"/>
      <c r="BB38" s="343"/>
      <c r="BC38" s="343"/>
      <c r="BD38" s="343"/>
      <c r="BE38" s="343"/>
      <c r="BF38" s="343"/>
      <c r="BG38" s="343"/>
      <c r="BH38" s="343"/>
      <c r="BI38" s="343"/>
      <c r="BJ38" s="1326"/>
      <c r="BL38" s="1323"/>
      <c r="BM38" s="343"/>
      <c r="BN38" s="343"/>
      <c r="BO38" s="343"/>
      <c r="BP38" s="343"/>
      <c r="BQ38" s="343"/>
      <c r="BR38" s="343"/>
      <c r="BS38" s="343"/>
      <c r="BT38" s="343"/>
      <c r="BU38" s="343"/>
      <c r="BV38" s="1326"/>
    </row>
    <row r="39" spans="2:74" ht="21" x14ac:dyDescent="0.25">
      <c r="B39" s="1360"/>
      <c r="C39" s="1368"/>
      <c r="D39" s="1323"/>
      <c r="E39" s="344" t="str">
        <f>E31</f>
        <v>Demande mensuelle</v>
      </c>
      <c r="F39" s="344" t="s">
        <v>44</v>
      </c>
      <c r="G39" s="344" t="str">
        <f>G31</f>
        <v>Achalandage mensuel</v>
      </c>
      <c r="H39" s="344" t="s">
        <v>45</v>
      </c>
      <c r="I39" s="344" t="s">
        <v>46</v>
      </c>
      <c r="J39" s="344" t="str">
        <f>J31</f>
        <v>Um/A</v>
      </c>
      <c r="K39" s="344" t="s">
        <v>45</v>
      </c>
      <c r="L39" s="344" t="str">
        <f>L31</f>
        <v>PmO</v>
      </c>
      <c r="M39" s="344" t="s">
        <v>49</v>
      </c>
      <c r="N39" s="1326"/>
      <c r="P39" s="1323"/>
      <c r="Q39" s="344" t="str">
        <f>Q31</f>
        <v>Demande mensuelle</v>
      </c>
      <c r="R39" s="344" t="s">
        <v>44</v>
      </c>
      <c r="S39" s="344" t="str">
        <f>S31</f>
        <v>Achalandage mensuel</v>
      </c>
      <c r="T39" s="344" t="s">
        <v>45</v>
      </c>
      <c r="U39" s="344" t="s">
        <v>46</v>
      </c>
      <c r="V39" s="344" t="str">
        <f>V31</f>
        <v>Um/A</v>
      </c>
      <c r="W39" s="344" t="s">
        <v>45</v>
      </c>
      <c r="X39" s="344" t="str">
        <f>X31</f>
        <v>PmO</v>
      </c>
      <c r="Y39" s="344" t="s">
        <v>49</v>
      </c>
      <c r="Z39" s="1326"/>
      <c r="AB39" s="1323"/>
      <c r="AC39" s="344" t="str">
        <f>AC31</f>
        <v>Demande mensuelle</v>
      </c>
      <c r="AD39" s="344" t="s">
        <v>44</v>
      </c>
      <c r="AE39" s="344" t="str">
        <f>AE31</f>
        <v>Achalandage mensuel</v>
      </c>
      <c r="AF39" s="344" t="s">
        <v>45</v>
      </c>
      <c r="AG39" s="344" t="s">
        <v>46</v>
      </c>
      <c r="AH39" s="344" t="str">
        <f>AH31</f>
        <v>Um/A</v>
      </c>
      <c r="AI39" s="344" t="s">
        <v>45</v>
      </c>
      <c r="AJ39" s="344" t="str">
        <f>AJ31</f>
        <v>PmO</v>
      </c>
      <c r="AK39" s="344" t="s">
        <v>49</v>
      </c>
      <c r="AL39" s="1326"/>
      <c r="AN39" s="1323"/>
      <c r="AO39" s="344" t="str">
        <f>AO31</f>
        <v>Demande mensuelle</v>
      </c>
      <c r="AP39" s="344" t="s">
        <v>44</v>
      </c>
      <c r="AQ39" s="344" t="str">
        <f>AQ31</f>
        <v>Achalandage mensuel</v>
      </c>
      <c r="AR39" s="344" t="s">
        <v>45</v>
      </c>
      <c r="AS39" s="344" t="s">
        <v>46</v>
      </c>
      <c r="AT39" s="344" t="str">
        <f>AT31</f>
        <v>Um/A</v>
      </c>
      <c r="AU39" s="344" t="s">
        <v>45</v>
      </c>
      <c r="AV39" s="344" t="str">
        <f>AV31</f>
        <v>PmO</v>
      </c>
      <c r="AW39" s="344" t="s">
        <v>49</v>
      </c>
      <c r="AX39" s="1326"/>
      <c r="AZ39" s="1323"/>
      <c r="BA39" s="344" t="str">
        <f>BA31</f>
        <v>Coût mensuel</v>
      </c>
      <c r="BB39" s="344" t="s">
        <v>44</v>
      </c>
      <c r="BC39" s="344" t="str">
        <f>BC31</f>
        <v>Achalandage mensuel</v>
      </c>
      <c r="BD39" s="344" t="s">
        <v>45</v>
      </c>
      <c r="BE39" s="344" t="s">
        <v>46</v>
      </c>
      <c r="BF39" s="344" t="str">
        <f>BF31</f>
        <v>Um/A</v>
      </c>
      <c r="BG39" s="344" t="s">
        <v>45</v>
      </c>
      <c r="BH39" s="344" t="str">
        <f>BH31</f>
        <v>CmO</v>
      </c>
      <c r="BI39" s="344" t="s">
        <v>49</v>
      </c>
      <c r="BJ39" s="1326"/>
      <c r="BL39" s="1323"/>
      <c r="BM39" s="344" t="str">
        <f>BM31</f>
        <v>Bénéfice mensuel</v>
      </c>
      <c r="BN39" s="344" t="s">
        <v>44</v>
      </c>
      <c r="BO39" s="344" t="str">
        <f>BO31</f>
        <v>Achalandage mensuel</v>
      </c>
      <c r="BP39" s="344" t="s">
        <v>45</v>
      </c>
      <c r="BQ39" s="344" t="s">
        <v>46</v>
      </c>
      <c r="BR39" s="344" t="str">
        <f>BR31</f>
        <v>Um/A</v>
      </c>
      <c r="BS39" s="344" t="s">
        <v>45</v>
      </c>
      <c r="BT39" s="344" t="str">
        <f>BT31</f>
        <v>BmO</v>
      </c>
      <c r="BU39" s="344" t="s">
        <v>49</v>
      </c>
      <c r="BV39" s="1326"/>
    </row>
    <row r="40" spans="2:74" ht="19" x14ac:dyDescent="0.25">
      <c r="B40" s="1360"/>
      <c r="C40" s="1368"/>
      <c r="D40" s="1323"/>
      <c r="E40" s="345" t="s">
        <v>2</v>
      </c>
      <c r="F40" s="346"/>
      <c r="G40" s="345"/>
      <c r="H40" s="346"/>
      <c r="I40" s="346"/>
      <c r="J40" s="346"/>
      <c r="K40" s="346"/>
      <c r="L40" s="346"/>
      <c r="M40" s="346"/>
      <c r="N40" s="1326"/>
      <c r="P40" s="1323"/>
      <c r="Q40" s="345" t="s">
        <v>2</v>
      </c>
      <c r="R40" s="346"/>
      <c r="S40" s="345"/>
      <c r="T40" s="346"/>
      <c r="U40" s="346"/>
      <c r="V40" s="346"/>
      <c r="W40" s="346"/>
      <c r="X40" s="346"/>
      <c r="Y40" s="346"/>
      <c r="Z40" s="1326"/>
      <c r="AB40" s="1323"/>
      <c r="AC40" s="345" t="s">
        <v>2</v>
      </c>
      <c r="AD40" s="346"/>
      <c r="AE40" s="345"/>
      <c r="AF40" s="346"/>
      <c r="AG40" s="346"/>
      <c r="AH40" s="346"/>
      <c r="AI40" s="346"/>
      <c r="AJ40" s="1240"/>
      <c r="AK40" s="346"/>
      <c r="AL40" s="1326"/>
      <c r="AN40" s="1323"/>
      <c r="AO40" s="345" t="s">
        <v>2</v>
      </c>
      <c r="AP40" s="346"/>
      <c r="AQ40" s="345"/>
      <c r="AR40" s="346"/>
      <c r="AS40" s="346"/>
      <c r="AT40" s="346"/>
      <c r="AU40" s="346"/>
      <c r="AV40" s="346"/>
      <c r="AW40" s="346"/>
      <c r="AX40" s="1326"/>
      <c r="AZ40" s="1323"/>
      <c r="BA40" s="345" t="s">
        <v>2</v>
      </c>
      <c r="BB40" s="346"/>
      <c r="BC40" s="345"/>
      <c r="BD40" s="346"/>
      <c r="BE40" s="346"/>
      <c r="BF40" s="346"/>
      <c r="BG40" s="346"/>
      <c r="BH40" s="346"/>
      <c r="BI40" s="346"/>
      <c r="BJ40" s="1326"/>
      <c r="BL40" s="1323"/>
      <c r="BM40" s="345" t="s">
        <v>2</v>
      </c>
      <c r="BN40" s="346"/>
      <c r="BO40" s="345"/>
      <c r="BP40" s="346"/>
      <c r="BQ40" s="346"/>
      <c r="BR40" s="346"/>
      <c r="BS40" s="346"/>
      <c r="BT40" s="346"/>
      <c r="BU40" s="346"/>
      <c r="BV40" s="1326"/>
    </row>
    <row r="41" spans="2:74" ht="26" x14ac:dyDescent="0.3">
      <c r="B41" s="1360"/>
      <c r="C41" s="1368"/>
      <c r="D41" s="1323"/>
      <c r="E41" s="347" t="str">
        <f>E33</f>
        <v>D</v>
      </c>
      <c r="F41" s="348"/>
      <c r="G41" s="347" t="str">
        <f>G33</f>
        <v>A</v>
      </c>
      <c r="H41" s="348"/>
      <c r="I41" s="348"/>
      <c r="J41" s="347" t="str">
        <f>+J39</f>
        <v>Um/A</v>
      </c>
      <c r="K41" s="348"/>
      <c r="L41" s="347" t="str">
        <f>+L39</f>
        <v>PmO</v>
      </c>
      <c r="M41" s="348"/>
      <c r="N41" s="1326"/>
      <c r="P41" s="1323"/>
      <c r="Q41" s="347" t="str">
        <f>Q33</f>
        <v>D</v>
      </c>
      <c r="R41" s="348"/>
      <c r="S41" s="347" t="str">
        <f>S33</f>
        <v>A</v>
      </c>
      <c r="T41" s="348"/>
      <c r="U41" s="348"/>
      <c r="V41" s="347" t="str">
        <f>+V39</f>
        <v>Um/A</v>
      </c>
      <c r="W41" s="348"/>
      <c r="X41" s="347" t="str">
        <f>+X39</f>
        <v>PmO</v>
      </c>
      <c r="Y41" s="348"/>
      <c r="Z41" s="1326"/>
      <c r="AB41" s="1323"/>
      <c r="AC41" s="347" t="str">
        <f>AC33</f>
        <v>D</v>
      </c>
      <c r="AD41" s="348"/>
      <c r="AE41" s="347" t="str">
        <f>AE33</f>
        <v>A</v>
      </c>
      <c r="AF41" s="348"/>
      <c r="AG41" s="348"/>
      <c r="AH41" s="347" t="str">
        <f>+AH39</f>
        <v>Um/A</v>
      </c>
      <c r="AI41" s="348"/>
      <c r="AJ41" s="347" t="str">
        <f>+AJ39</f>
        <v>PmO</v>
      </c>
      <c r="AK41" s="348"/>
      <c r="AL41" s="1326"/>
      <c r="AN41" s="1323"/>
      <c r="AO41" s="347" t="str">
        <f>AO33</f>
        <v>D</v>
      </c>
      <c r="AP41" s="348"/>
      <c r="AQ41" s="347" t="str">
        <f>AQ33</f>
        <v>A</v>
      </c>
      <c r="AR41" s="348"/>
      <c r="AS41" s="348"/>
      <c r="AT41" s="347" t="str">
        <f>+AT39</f>
        <v>Um/A</v>
      </c>
      <c r="AU41" s="348"/>
      <c r="AV41" s="347" t="str">
        <f>+AV39</f>
        <v>PmO</v>
      </c>
      <c r="AW41" s="348"/>
      <c r="AX41" s="1326"/>
      <c r="AZ41" s="1323"/>
      <c r="BA41" s="347" t="str">
        <f>BA33</f>
        <v xml:space="preserve">C </v>
      </c>
      <c r="BB41" s="348"/>
      <c r="BC41" s="347" t="str">
        <f>BC33</f>
        <v>A</v>
      </c>
      <c r="BD41" s="348"/>
      <c r="BE41" s="348"/>
      <c r="BF41" s="347" t="str">
        <f>+BF39</f>
        <v>Um/A</v>
      </c>
      <c r="BG41" s="348"/>
      <c r="BH41" s="347" t="str">
        <f>+BH39</f>
        <v>CmO</v>
      </c>
      <c r="BI41" s="348"/>
      <c r="BJ41" s="1326"/>
      <c r="BL41" s="1323"/>
      <c r="BM41" s="347" t="str">
        <f>BM33</f>
        <v xml:space="preserve">B </v>
      </c>
      <c r="BN41" s="348"/>
      <c r="BO41" s="347" t="str">
        <f>BO33</f>
        <v>A</v>
      </c>
      <c r="BP41" s="348"/>
      <c r="BQ41" s="348"/>
      <c r="BR41" s="347" t="str">
        <f>+BR39</f>
        <v>Um/A</v>
      </c>
      <c r="BS41" s="348"/>
      <c r="BT41" s="347" t="str">
        <f>+BT39</f>
        <v>BmO</v>
      </c>
      <c r="BU41" s="348"/>
      <c r="BV41" s="1326"/>
    </row>
    <row r="42" spans="2:74" ht="21" x14ac:dyDescent="0.25">
      <c r="B42" s="1360"/>
      <c r="C42" s="1368"/>
      <c r="D42" s="1323"/>
      <c r="E42" s="337">
        <f>+Q42+AC42+AO42</f>
        <v>89081.066666666666</v>
      </c>
      <c r="F42" s="344" t="s">
        <v>44</v>
      </c>
      <c r="G42" s="338">
        <f>'% Occupation'!H19</f>
        <v>4480</v>
      </c>
      <c r="H42" s="344" t="s">
        <v>45</v>
      </c>
      <c r="I42" s="344" t="s">
        <v>46</v>
      </c>
      <c r="J42" s="339">
        <f>+V42+AH42+AT42</f>
        <v>3.0999999999999996</v>
      </c>
      <c r="K42" s="344" t="s">
        <v>45</v>
      </c>
      <c r="L42" s="340">
        <f>E42/G42/J42</f>
        <v>6.4142473118279577</v>
      </c>
      <c r="M42" s="344" t="s">
        <v>49</v>
      </c>
      <c r="N42" s="1326"/>
      <c r="P42" s="1323"/>
      <c r="Q42" s="337">
        <f>+S42*(V42*X42)</f>
        <v>44236.26666666667</v>
      </c>
      <c r="R42" s="344" t="s">
        <v>44</v>
      </c>
      <c r="S42" s="338">
        <f>G42</f>
        <v>4480</v>
      </c>
      <c r="T42" s="344" t="s">
        <v>45</v>
      </c>
      <c r="U42" s="344" t="s">
        <v>46</v>
      </c>
      <c r="V42" s="375">
        <f>V34</f>
        <v>2.0499999999999998</v>
      </c>
      <c r="W42" s="344" t="s">
        <v>45</v>
      </c>
      <c r="X42" s="1083">
        <f>'Calcul CmO et PmO'!F193</f>
        <v>4.8166666666666673</v>
      </c>
      <c r="Y42" s="344" t="s">
        <v>49</v>
      </c>
      <c r="Z42" s="1326"/>
      <c r="AB42" s="1323"/>
      <c r="AC42" s="337">
        <f>+AE42*(AH42*AJ42)</f>
        <v>44844.799999999996</v>
      </c>
      <c r="AD42" s="344" t="s">
        <v>44</v>
      </c>
      <c r="AE42" s="338">
        <f>S42</f>
        <v>4480</v>
      </c>
      <c r="AF42" s="344" t="s">
        <v>45</v>
      </c>
      <c r="AG42" s="344" t="s">
        <v>46</v>
      </c>
      <c r="AH42" s="375">
        <f>AH34</f>
        <v>1.05</v>
      </c>
      <c r="AI42" s="344" t="s">
        <v>45</v>
      </c>
      <c r="AJ42" s="1235">
        <f>'Calcul CmO et PmO'!F208</f>
        <v>9.5333333333333332</v>
      </c>
      <c r="AK42" s="344" t="s">
        <v>49</v>
      </c>
      <c r="AL42" s="1326"/>
      <c r="AN42" s="1323"/>
      <c r="AO42" s="337">
        <f>+AQ42*(AT42*AV42)</f>
        <v>0</v>
      </c>
      <c r="AP42" s="344" t="s">
        <v>44</v>
      </c>
      <c r="AQ42" s="338">
        <f>AE42</f>
        <v>4480</v>
      </c>
      <c r="AR42" s="344" t="s">
        <v>45</v>
      </c>
      <c r="AS42" s="344" t="s">
        <v>46</v>
      </c>
      <c r="AT42" s="375">
        <f>AT34</f>
        <v>0</v>
      </c>
      <c r="AU42" s="344" t="s">
        <v>45</v>
      </c>
      <c r="AV42" s="376">
        <f>AV34</f>
        <v>0</v>
      </c>
      <c r="AW42" s="344" t="s">
        <v>49</v>
      </c>
      <c r="AX42" s="1326"/>
      <c r="AZ42" s="1323"/>
      <c r="BA42" s="337">
        <f>'État des Résultats'!Q14-'État des Résultats'!Q45</f>
        <v>82993.113028216118</v>
      </c>
      <c r="BB42" s="344" t="s">
        <v>44</v>
      </c>
      <c r="BC42" s="338">
        <f>G42</f>
        <v>4480</v>
      </c>
      <c r="BD42" s="344" t="s">
        <v>45</v>
      </c>
      <c r="BE42" s="344" t="s">
        <v>46</v>
      </c>
      <c r="BF42" s="339">
        <f>J42</f>
        <v>3.0999999999999996</v>
      </c>
      <c r="BG42" s="344" t="s">
        <v>45</v>
      </c>
      <c r="BH42" s="340">
        <f>BA42/BC42/BF42</f>
        <v>5.9758865947736268</v>
      </c>
      <c r="BI42" s="344" t="s">
        <v>49</v>
      </c>
      <c r="BJ42" s="1326"/>
      <c r="BL42" s="1323"/>
      <c r="BM42" s="337">
        <f>'État des Résultats'!Q45</f>
        <v>6087.95363845055</v>
      </c>
      <c r="BN42" s="344" t="s">
        <v>44</v>
      </c>
      <c r="BO42" s="338">
        <f>S42</f>
        <v>4480</v>
      </c>
      <c r="BP42" s="344" t="s">
        <v>45</v>
      </c>
      <c r="BQ42" s="344" t="s">
        <v>46</v>
      </c>
      <c r="BR42" s="339">
        <f>J42</f>
        <v>3.0999999999999996</v>
      </c>
      <c r="BS42" s="344" t="s">
        <v>45</v>
      </c>
      <c r="BT42" s="340">
        <f>BM42/BO42/BR42</f>
        <v>0.43836071705433111</v>
      </c>
      <c r="BU42" s="344" t="s">
        <v>49</v>
      </c>
      <c r="BV42" s="1326"/>
    </row>
    <row r="43" spans="2:74" ht="17" thickBot="1" x14ac:dyDescent="0.25">
      <c r="B43" s="1360"/>
      <c r="C43" s="1368"/>
      <c r="D43" s="1324"/>
      <c r="E43" s="349"/>
      <c r="F43" s="349"/>
      <c r="G43" s="349"/>
      <c r="H43" s="349"/>
      <c r="I43" s="349"/>
      <c r="J43" s="349"/>
      <c r="K43" s="349"/>
      <c r="L43" s="349"/>
      <c r="M43" s="349"/>
      <c r="N43" s="1327"/>
      <c r="P43" s="1324"/>
      <c r="Q43" s="349"/>
      <c r="R43" s="349"/>
      <c r="S43" s="349"/>
      <c r="T43" s="349"/>
      <c r="U43" s="349"/>
      <c r="V43" s="349"/>
      <c r="W43" s="349"/>
      <c r="X43" s="349"/>
      <c r="Y43" s="349"/>
      <c r="Z43" s="1327"/>
      <c r="AB43" s="1324"/>
      <c r="AC43" s="349"/>
      <c r="AD43" s="349"/>
      <c r="AE43" s="349"/>
      <c r="AF43" s="349"/>
      <c r="AG43" s="349"/>
      <c r="AH43" s="349"/>
      <c r="AI43" s="349"/>
      <c r="AJ43" s="1236"/>
      <c r="AK43" s="349"/>
      <c r="AL43" s="1327"/>
      <c r="AN43" s="1324"/>
      <c r="AO43" s="349"/>
      <c r="AP43" s="349"/>
      <c r="AQ43" s="349"/>
      <c r="AR43" s="349"/>
      <c r="AS43" s="349"/>
      <c r="AT43" s="349"/>
      <c r="AU43" s="349"/>
      <c r="AV43" s="349"/>
      <c r="AW43" s="349"/>
      <c r="AX43" s="1327"/>
      <c r="AZ43" s="1324"/>
      <c r="BA43" s="349"/>
      <c r="BB43" s="349"/>
      <c r="BC43" s="349"/>
      <c r="BD43" s="349"/>
      <c r="BE43" s="349"/>
      <c r="BF43" s="349"/>
      <c r="BG43" s="349"/>
      <c r="BH43" s="349"/>
      <c r="BI43" s="349"/>
      <c r="BJ43" s="1327"/>
      <c r="BL43" s="1324"/>
      <c r="BM43" s="349"/>
      <c r="BN43" s="349"/>
      <c r="BO43" s="349"/>
      <c r="BP43" s="349"/>
      <c r="BQ43" s="349"/>
      <c r="BR43" s="349"/>
      <c r="BS43" s="349"/>
      <c r="BT43" s="349"/>
      <c r="BU43" s="349"/>
      <c r="BV43" s="1327"/>
    </row>
    <row r="44" spans="2:74" ht="5" customHeight="1" thickTop="1" thickBot="1" x14ac:dyDescent="0.2">
      <c r="B44" s="1360"/>
      <c r="C44" s="209"/>
      <c r="AJ44" s="1237"/>
    </row>
    <row r="45" spans="2:74" ht="17" thickTop="1" x14ac:dyDescent="0.2">
      <c r="B45" s="1360"/>
      <c r="C45" s="1368" t="s">
        <v>625</v>
      </c>
      <c r="D45" s="1322" t="s">
        <v>42</v>
      </c>
      <c r="E45" s="342"/>
      <c r="F45" s="342"/>
      <c r="G45" s="342"/>
      <c r="H45" s="342"/>
      <c r="I45" s="342"/>
      <c r="J45" s="342"/>
      <c r="K45" s="342"/>
      <c r="L45" s="342"/>
      <c r="M45" s="342"/>
      <c r="N45" s="1325" t="s">
        <v>43</v>
      </c>
      <c r="P45" s="1322" t="s">
        <v>42</v>
      </c>
      <c r="Q45" s="342"/>
      <c r="R45" s="342"/>
      <c r="S45" s="342"/>
      <c r="T45" s="342"/>
      <c r="U45" s="342"/>
      <c r="V45" s="342"/>
      <c r="W45" s="342"/>
      <c r="X45" s="342"/>
      <c r="Y45" s="342"/>
      <c r="Z45" s="1325" t="s">
        <v>43</v>
      </c>
      <c r="AB45" s="1322" t="s">
        <v>42</v>
      </c>
      <c r="AC45" s="342"/>
      <c r="AD45" s="342"/>
      <c r="AE45" s="342"/>
      <c r="AF45" s="342"/>
      <c r="AG45" s="342"/>
      <c r="AH45" s="342"/>
      <c r="AI45" s="342"/>
      <c r="AJ45" s="1238"/>
      <c r="AK45" s="342"/>
      <c r="AL45" s="1325" t="s">
        <v>43</v>
      </c>
      <c r="AN45" s="1322" t="s">
        <v>42</v>
      </c>
      <c r="AO45" s="342"/>
      <c r="AP45" s="342"/>
      <c r="AQ45" s="342"/>
      <c r="AR45" s="342"/>
      <c r="AS45" s="342"/>
      <c r="AT45" s="342"/>
      <c r="AU45" s="342"/>
      <c r="AV45" s="342"/>
      <c r="AW45" s="342"/>
      <c r="AX45" s="1325" t="s">
        <v>43</v>
      </c>
      <c r="AZ45" s="1322" t="s">
        <v>42</v>
      </c>
      <c r="BA45" s="342"/>
      <c r="BB45" s="342"/>
      <c r="BC45" s="342"/>
      <c r="BD45" s="342"/>
      <c r="BE45" s="342"/>
      <c r="BF45" s="342"/>
      <c r="BG45" s="342"/>
      <c r="BH45" s="342"/>
      <c r="BI45" s="342"/>
      <c r="BJ45" s="1325" t="s">
        <v>43</v>
      </c>
      <c r="BL45" s="1322" t="s">
        <v>42</v>
      </c>
      <c r="BM45" s="342"/>
      <c r="BN45" s="342"/>
      <c r="BO45" s="342"/>
      <c r="BP45" s="342"/>
      <c r="BQ45" s="342"/>
      <c r="BR45" s="342"/>
      <c r="BS45" s="342"/>
      <c r="BT45" s="342"/>
      <c r="BU45" s="342"/>
      <c r="BV45" s="1325" t="s">
        <v>43</v>
      </c>
    </row>
    <row r="46" spans="2:74" ht="16" x14ac:dyDescent="0.2">
      <c r="B46" s="1360"/>
      <c r="C46" s="1368"/>
      <c r="D46" s="1323"/>
      <c r="E46" s="343"/>
      <c r="F46" s="343"/>
      <c r="G46" s="343"/>
      <c r="H46" s="343"/>
      <c r="I46" s="343"/>
      <c r="J46" s="343"/>
      <c r="K46" s="343"/>
      <c r="L46" s="343"/>
      <c r="M46" s="343"/>
      <c r="N46" s="1326"/>
      <c r="P46" s="1323"/>
      <c r="Q46" s="343"/>
      <c r="R46" s="343"/>
      <c r="S46" s="343"/>
      <c r="T46" s="343"/>
      <c r="U46" s="343"/>
      <c r="V46" s="343"/>
      <c r="W46" s="343"/>
      <c r="X46" s="343"/>
      <c r="Y46" s="343"/>
      <c r="Z46" s="1326"/>
      <c r="AB46" s="1323"/>
      <c r="AC46" s="343"/>
      <c r="AD46" s="343"/>
      <c r="AE46" s="343"/>
      <c r="AF46" s="343"/>
      <c r="AG46" s="343"/>
      <c r="AH46" s="343"/>
      <c r="AI46" s="343"/>
      <c r="AJ46" s="1239"/>
      <c r="AK46" s="343"/>
      <c r="AL46" s="1326"/>
      <c r="AN46" s="1323"/>
      <c r="AO46" s="343"/>
      <c r="AP46" s="343"/>
      <c r="AQ46" s="343"/>
      <c r="AR46" s="343"/>
      <c r="AS46" s="343"/>
      <c r="AT46" s="343"/>
      <c r="AU46" s="343"/>
      <c r="AV46" s="343"/>
      <c r="AW46" s="343"/>
      <c r="AX46" s="1326"/>
      <c r="AZ46" s="1323"/>
      <c r="BA46" s="343"/>
      <c r="BB46" s="343"/>
      <c r="BC46" s="343"/>
      <c r="BD46" s="343"/>
      <c r="BE46" s="343"/>
      <c r="BF46" s="343"/>
      <c r="BG46" s="343"/>
      <c r="BH46" s="343"/>
      <c r="BI46" s="343"/>
      <c r="BJ46" s="1326"/>
      <c r="BL46" s="1323"/>
      <c r="BM46" s="343"/>
      <c r="BN46" s="343"/>
      <c r="BO46" s="343"/>
      <c r="BP46" s="343"/>
      <c r="BQ46" s="343"/>
      <c r="BR46" s="343"/>
      <c r="BS46" s="343"/>
      <c r="BT46" s="343"/>
      <c r="BU46" s="343"/>
      <c r="BV46" s="1326"/>
    </row>
    <row r="47" spans="2:74" ht="21" x14ac:dyDescent="0.25">
      <c r="B47" s="1360"/>
      <c r="C47" s="1368"/>
      <c r="D47" s="1323"/>
      <c r="E47" s="344" t="str">
        <f>E39</f>
        <v>Demande mensuelle</v>
      </c>
      <c r="F47" s="344" t="s">
        <v>44</v>
      </c>
      <c r="G47" s="344" t="str">
        <f>G39</f>
        <v>Achalandage mensuel</v>
      </c>
      <c r="H47" s="344" t="s">
        <v>45</v>
      </c>
      <c r="I47" s="344" t="s">
        <v>46</v>
      </c>
      <c r="J47" s="344" t="str">
        <f>J39</f>
        <v>Um/A</v>
      </c>
      <c r="K47" s="344" t="s">
        <v>45</v>
      </c>
      <c r="L47" s="344" t="str">
        <f>L39</f>
        <v>PmO</v>
      </c>
      <c r="M47" s="344" t="s">
        <v>49</v>
      </c>
      <c r="N47" s="1326"/>
      <c r="P47" s="1323"/>
      <c r="Q47" s="344" t="str">
        <f>Q39</f>
        <v>Demande mensuelle</v>
      </c>
      <c r="R47" s="344" t="s">
        <v>44</v>
      </c>
      <c r="S47" s="344" t="str">
        <f>S39</f>
        <v>Achalandage mensuel</v>
      </c>
      <c r="T47" s="344" t="s">
        <v>45</v>
      </c>
      <c r="U47" s="344" t="s">
        <v>46</v>
      </c>
      <c r="V47" s="344" t="str">
        <f>V39</f>
        <v>Um/A</v>
      </c>
      <c r="W47" s="344" t="s">
        <v>45</v>
      </c>
      <c r="X47" s="344" t="str">
        <f>X39</f>
        <v>PmO</v>
      </c>
      <c r="Y47" s="344" t="s">
        <v>49</v>
      </c>
      <c r="Z47" s="1326"/>
      <c r="AB47" s="1323"/>
      <c r="AC47" s="344" t="str">
        <f>AC39</f>
        <v>Demande mensuelle</v>
      </c>
      <c r="AD47" s="344" t="s">
        <v>44</v>
      </c>
      <c r="AE47" s="344" t="str">
        <f>AE39</f>
        <v>Achalandage mensuel</v>
      </c>
      <c r="AF47" s="344" t="s">
        <v>45</v>
      </c>
      <c r="AG47" s="344" t="s">
        <v>46</v>
      </c>
      <c r="AH47" s="344" t="str">
        <f>AH39</f>
        <v>Um/A</v>
      </c>
      <c r="AI47" s="344" t="s">
        <v>45</v>
      </c>
      <c r="AJ47" s="344" t="str">
        <f>AJ39</f>
        <v>PmO</v>
      </c>
      <c r="AK47" s="344" t="s">
        <v>49</v>
      </c>
      <c r="AL47" s="1326"/>
      <c r="AN47" s="1323"/>
      <c r="AO47" s="344" t="str">
        <f>AO39</f>
        <v>Demande mensuelle</v>
      </c>
      <c r="AP47" s="344" t="s">
        <v>44</v>
      </c>
      <c r="AQ47" s="344" t="str">
        <f>AQ39</f>
        <v>Achalandage mensuel</v>
      </c>
      <c r="AR47" s="344" t="s">
        <v>45</v>
      </c>
      <c r="AS47" s="344" t="s">
        <v>46</v>
      </c>
      <c r="AT47" s="344" t="str">
        <f>AT39</f>
        <v>Um/A</v>
      </c>
      <c r="AU47" s="344" t="s">
        <v>45</v>
      </c>
      <c r="AV47" s="344" t="str">
        <f>AV39</f>
        <v>PmO</v>
      </c>
      <c r="AW47" s="344" t="s">
        <v>49</v>
      </c>
      <c r="AX47" s="1326"/>
      <c r="AZ47" s="1323"/>
      <c r="BA47" s="344" t="str">
        <f>BA39</f>
        <v>Coût mensuel</v>
      </c>
      <c r="BB47" s="344" t="s">
        <v>44</v>
      </c>
      <c r="BC47" s="344" t="str">
        <f>BC39</f>
        <v>Achalandage mensuel</v>
      </c>
      <c r="BD47" s="344" t="s">
        <v>45</v>
      </c>
      <c r="BE47" s="344" t="s">
        <v>46</v>
      </c>
      <c r="BF47" s="344" t="str">
        <f>BF39</f>
        <v>Um/A</v>
      </c>
      <c r="BG47" s="344" t="s">
        <v>45</v>
      </c>
      <c r="BH47" s="344" t="str">
        <f>BH39</f>
        <v>CmO</v>
      </c>
      <c r="BI47" s="344" t="s">
        <v>49</v>
      </c>
      <c r="BJ47" s="1326"/>
      <c r="BL47" s="1323"/>
      <c r="BM47" s="344" t="str">
        <f>BM39</f>
        <v>Bénéfice mensuel</v>
      </c>
      <c r="BN47" s="344" t="s">
        <v>44</v>
      </c>
      <c r="BO47" s="344" t="str">
        <f>BO39</f>
        <v>Achalandage mensuel</v>
      </c>
      <c r="BP47" s="344" t="s">
        <v>45</v>
      </c>
      <c r="BQ47" s="344" t="s">
        <v>46</v>
      </c>
      <c r="BR47" s="344" t="str">
        <f>BR39</f>
        <v>Um/A</v>
      </c>
      <c r="BS47" s="344" t="s">
        <v>45</v>
      </c>
      <c r="BT47" s="344" t="str">
        <f>BT39</f>
        <v>BmO</v>
      </c>
      <c r="BU47" s="344" t="s">
        <v>49</v>
      </c>
      <c r="BV47" s="1326"/>
    </row>
    <row r="48" spans="2:74" ht="19" x14ac:dyDescent="0.25">
      <c r="B48" s="1360"/>
      <c r="C48" s="1368"/>
      <c r="D48" s="1323"/>
      <c r="E48" s="345" t="s">
        <v>2</v>
      </c>
      <c r="F48" s="346"/>
      <c r="G48" s="345"/>
      <c r="H48" s="346"/>
      <c r="I48" s="346"/>
      <c r="J48" s="346"/>
      <c r="K48" s="346"/>
      <c r="L48" s="346"/>
      <c r="M48" s="346"/>
      <c r="N48" s="1326"/>
      <c r="P48" s="1323"/>
      <c r="Q48" s="345" t="s">
        <v>2</v>
      </c>
      <c r="R48" s="346"/>
      <c r="S48" s="345"/>
      <c r="T48" s="346"/>
      <c r="U48" s="346"/>
      <c r="V48" s="346"/>
      <c r="W48" s="346"/>
      <c r="X48" s="346"/>
      <c r="Y48" s="346"/>
      <c r="Z48" s="1326"/>
      <c r="AB48" s="1323"/>
      <c r="AC48" s="345" t="s">
        <v>2</v>
      </c>
      <c r="AD48" s="346"/>
      <c r="AE48" s="345"/>
      <c r="AF48" s="346"/>
      <c r="AG48" s="346"/>
      <c r="AH48" s="346"/>
      <c r="AI48" s="346"/>
      <c r="AJ48" s="1240"/>
      <c r="AK48" s="346"/>
      <c r="AL48" s="1326"/>
      <c r="AN48" s="1323"/>
      <c r="AO48" s="345" t="s">
        <v>2</v>
      </c>
      <c r="AP48" s="346"/>
      <c r="AQ48" s="345"/>
      <c r="AR48" s="346"/>
      <c r="AS48" s="346"/>
      <c r="AT48" s="346"/>
      <c r="AU48" s="346"/>
      <c r="AV48" s="346"/>
      <c r="AW48" s="346"/>
      <c r="AX48" s="1326"/>
      <c r="AZ48" s="1323"/>
      <c r="BA48" s="345" t="s">
        <v>2</v>
      </c>
      <c r="BB48" s="346"/>
      <c r="BC48" s="345"/>
      <c r="BD48" s="346"/>
      <c r="BE48" s="346"/>
      <c r="BF48" s="346"/>
      <c r="BG48" s="346"/>
      <c r="BH48" s="346"/>
      <c r="BI48" s="346"/>
      <c r="BJ48" s="1326"/>
      <c r="BL48" s="1323"/>
      <c r="BM48" s="345" t="s">
        <v>2</v>
      </c>
      <c r="BN48" s="346"/>
      <c r="BO48" s="345"/>
      <c r="BP48" s="346"/>
      <c r="BQ48" s="346"/>
      <c r="BR48" s="346"/>
      <c r="BS48" s="346"/>
      <c r="BT48" s="346"/>
      <c r="BU48" s="346"/>
      <c r="BV48" s="1326"/>
    </row>
    <row r="49" spans="2:74" ht="26" x14ac:dyDescent="0.3">
      <c r="B49" s="1360"/>
      <c r="C49" s="1368"/>
      <c r="D49" s="1323"/>
      <c r="E49" s="347" t="str">
        <f>E41</f>
        <v>D</v>
      </c>
      <c r="F49" s="348"/>
      <c r="G49" s="347" t="str">
        <f>G41</f>
        <v>A</v>
      </c>
      <c r="H49" s="348"/>
      <c r="I49" s="348"/>
      <c r="J49" s="347" t="str">
        <f>+J47</f>
        <v>Um/A</v>
      </c>
      <c r="K49" s="348"/>
      <c r="L49" s="347" t="str">
        <f>+L47</f>
        <v>PmO</v>
      </c>
      <c r="M49" s="348"/>
      <c r="N49" s="1326"/>
      <c r="P49" s="1323"/>
      <c r="Q49" s="347" t="str">
        <f>Q41</f>
        <v>D</v>
      </c>
      <c r="R49" s="348"/>
      <c r="S49" s="347" t="str">
        <f>S41</f>
        <v>A</v>
      </c>
      <c r="T49" s="348"/>
      <c r="U49" s="348"/>
      <c r="V49" s="347" t="str">
        <f>+V47</f>
        <v>Um/A</v>
      </c>
      <c r="W49" s="348"/>
      <c r="X49" s="347" t="str">
        <f>+X47</f>
        <v>PmO</v>
      </c>
      <c r="Y49" s="348"/>
      <c r="Z49" s="1326"/>
      <c r="AB49" s="1323"/>
      <c r="AC49" s="347" t="str">
        <f>AC41</f>
        <v>D</v>
      </c>
      <c r="AD49" s="348"/>
      <c r="AE49" s="347" t="str">
        <f>AE41</f>
        <v>A</v>
      </c>
      <c r="AF49" s="348"/>
      <c r="AG49" s="348"/>
      <c r="AH49" s="347" t="str">
        <f>+AH47</f>
        <v>Um/A</v>
      </c>
      <c r="AI49" s="348"/>
      <c r="AJ49" s="347" t="str">
        <f>+AJ47</f>
        <v>PmO</v>
      </c>
      <c r="AK49" s="348"/>
      <c r="AL49" s="1326"/>
      <c r="AN49" s="1323"/>
      <c r="AO49" s="347" t="str">
        <f>AO41</f>
        <v>D</v>
      </c>
      <c r="AP49" s="348"/>
      <c r="AQ49" s="347" t="str">
        <f>AQ41</f>
        <v>A</v>
      </c>
      <c r="AR49" s="348"/>
      <c r="AS49" s="348"/>
      <c r="AT49" s="347" t="str">
        <f>+AT47</f>
        <v>Um/A</v>
      </c>
      <c r="AU49" s="348"/>
      <c r="AV49" s="347" t="str">
        <f>+AV47</f>
        <v>PmO</v>
      </c>
      <c r="AW49" s="348"/>
      <c r="AX49" s="1326"/>
      <c r="AZ49" s="1323"/>
      <c r="BA49" s="347" t="str">
        <f>BA41</f>
        <v xml:space="preserve">C </v>
      </c>
      <c r="BB49" s="348"/>
      <c r="BC49" s="347" t="str">
        <f>BC41</f>
        <v>A</v>
      </c>
      <c r="BD49" s="348"/>
      <c r="BE49" s="348"/>
      <c r="BF49" s="347" t="str">
        <f>+BF47</f>
        <v>Um/A</v>
      </c>
      <c r="BG49" s="348"/>
      <c r="BH49" s="347" t="str">
        <f>+BH47</f>
        <v>CmO</v>
      </c>
      <c r="BI49" s="348"/>
      <c r="BJ49" s="1326"/>
      <c r="BL49" s="1323"/>
      <c r="BM49" s="347" t="str">
        <f>BM41</f>
        <v xml:space="preserve">B </v>
      </c>
      <c r="BN49" s="348"/>
      <c r="BO49" s="347" t="str">
        <f>BO41</f>
        <v>A</v>
      </c>
      <c r="BP49" s="348"/>
      <c r="BQ49" s="348"/>
      <c r="BR49" s="347" t="str">
        <f>+BR47</f>
        <v>Um/A</v>
      </c>
      <c r="BS49" s="348"/>
      <c r="BT49" s="347" t="str">
        <f>+BT47</f>
        <v>BmO</v>
      </c>
      <c r="BU49" s="348"/>
      <c r="BV49" s="1326"/>
    </row>
    <row r="50" spans="2:74" ht="21" x14ac:dyDescent="0.25">
      <c r="B50" s="1360"/>
      <c r="C50" s="1368"/>
      <c r="D50" s="1323"/>
      <c r="E50" s="337">
        <f>+Q50+AC50+AO50</f>
        <v>91546.703333333338</v>
      </c>
      <c r="F50" s="344" t="s">
        <v>44</v>
      </c>
      <c r="G50" s="338">
        <f>'% Occupation'!I19</f>
        <v>4604</v>
      </c>
      <c r="H50" s="344" t="s">
        <v>45</v>
      </c>
      <c r="I50" s="344" t="s">
        <v>46</v>
      </c>
      <c r="J50" s="339">
        <f>+V50+AH50+AT50</f>
        <v>3.0999999999999996</v>
      </c>
      <c r="K50" s="344" t="s">
        <v>45</v>
      </c>
      <c r="L50" s="340">
        <f>E50/G50/J50</f>
        <v>6.4142473118279586</v>
      </c>
      <c r="M50" s="344" t="s">
        <v>49</v>
      </c>
      <c r="N50" s="1326"/>
      <c r="P50" s="1323"/>
      <c r="Q50" s="337">
        <f>+S50*(V50*X50)</f>
        <v>45460.663333333338</v>
      </c>
      <c r="R50" s="344" t="s">
        <v>44</v>
      </c>
      <c r="S50" s="338">
        <f>G50</f>
        <v>4604</v>
      </c>
      <c r="T50" s="344" t="s">
        <v>45</v>
      </c>
      <c r="U50" s="344" t="s">
        <v>46</v>
      </c>
      <c r="V50" s="375">
        <f>V42</f>
        <v>2.0499999999999998</v>
      </c>
      <c r="W50" s="344" t="s">
        <v>45</v>
      </c>
      <c r="X50" s="1083">
        <f>'Calcul CmO et PmO'!F236</f>
        <v>4.8166666666666673</v>
      </c>
      <c r="Y50" s="344" t="s">
        <v>49</v>
      </c>
      <c r="Z50" s="1326"/>
      <c r="AB50" s="1323"/>
      <c r="AC50" s="337">
        <f>+AE50*(AH50*AJ50)</f>
        <v>46086.04</v>
      </c>
      <c r="AD50" s="344" t="s">
        <v>44</v>
      </c>
      <c r="AE50" s="338">
        <f>S50</f>
        <v>4604</v>
      </c>
      <c r="AF50" s="344" t="s">
        <v>45</v>
      </c>
      <c r="AG50" s="344" t="s">
        <v>46</v>
      </c>
      <c r="AH50" s="375">
        <f>AH42</f>
        <v>1.05</v>
      </c>
      <c r="AI50" s="344" t="s">
        <v>45</v>
      </c>
      <c r="AJ50" s="1235">
        <f>'Calcul CmO et PmO'!F251</f>
        <v>9.5333333333333332</v>
      </c>
      <c r="AK50" s="344" t="s">
        <v>49</v>
      </c>
      <c r="AL50" s="1326"/>
      <c r="AN50" s="1323"/>
      <c r="AO50" s="337">
        <f>+AQ50*(AT50*AV50)</f>
        <v>0</v>
      </c>
      <c r="AP50" s="344" t="s">
        <v>44</v>
      </c>
      <c r="AQ50" s="338">
        <f>AE50</f>
        <v>4604</v>
      </c>
      <c r="AR50" s="344" t="s">
        <v>45</v>
      </c>
      <c r="AS50" s="344" t="s">
        <v>46</v>
      </c>
      <c r="AT50" s="375">
        <f>AT42</f>
        <v>0</v>
      </c>
      <c r="AU50" s="344" t="s">
        <v>45</v>
      </c>
      <c r="AV50" s="376">
        <f>AV42</f>
        <v>0</v>
      </c>
      <c r="AW50" s="344" t="s">
        <v>49</v>
      </c>
      <c r="AX50" s="1326"/>
      <c r="AZ50" s="1323"/>
      <c r="BA50" s="337">
        <f>'État des Résultats'!T14-'État des Résultats'!T45</f>
        <v>84980.460281675681</v>
      </c>
      <c r="BB50" s="344" t="s">
        <v>44</v>
      </c>
      <c r="BC50" s="338">
        <f>G50</f>
        <v>4604</v>
      </c>
      <c r="BD50" s="344" t="s">
        <v>45</v>
      </c>
      <c r="BE50" s="344" t="s">
        <v>46</v>
      </c>
      <c r="BF50" s="339">
        <f>J50</f>
        <v>3.0999999999999996</v>
      </c>
      <c r="BG50" s="344" t="s">
        <v>45</v>
      </c>
      <c r="BH50" s="340">
        <f>BA50/BC50/BF50</f>
        <v>5.9541815168910404</v>
      </c>
      <c r="BI50" s="344" t="s">
        <v>49</v>
      </c>
      <c r="BJ50" s="1326"/>
      <c r="BL50" s="1323"/>
      <c r="BM50" s="337">
        <f>'État des Résultats'!T45</f>
        <v>6566.2430516576578</v>
      </c>
      <c r="BN50" s="344" t="s">
        <v>44</v>
      </c>
      <c r="BO50" s="338">
        <f>S50</f>
        <v>4604</v>
      </c>
      <c r="BP50" s="344" t="s">
        <v>45</v>
      </c>
      <c r="BQ50" s="344" t="s">
        <v>46</v>
      </c>
      <c r="BR50" s="339">
        <f>J50</f>
        <v>3.0999999999999996</v>
      </c>
      <c r="BS50" s="344" t="s">
        <v>45</v>
      </c>
      <c r="BT50" s="340">
        <f>BM50/BO50/BR50</f>
        <v>0.46006579493691729</v>
      </c>
      <c r="BU50" s="344" t="s">
        <v>49</v>
      </c>
      <c r="BV50" s="1326"/>
    </row>
    <row r="51" spans="2:74" ht="17" thickBot="1" x14ac:dyDescent="0.25">
      <c r="B51" s="1361"/>
      <c r="C51" s="1368"/>
      <c r="D51" s="1324"/>
      <c r="E51" s="349"/>
      <c r="F51" s="349"/>
      <c r="G51" s="349"/>
      <c r="H51" s="349"/>
      <c r="I51" s="349"/>
      <c r="J51" s="349"/>
      <c r="K51" s="349"/>
      <c r="L51" s="349"/>
      <c r="M51" s="349"/>
      <c r="N51" s="1327"/>
      <c r="P51" s="1324"/>
      <c r="Q51" s="349"/>
      <c r="R51" s="349"/>
      <c r="S51" s="349"/>
      <c r="T51" s="349"/>
      <c r="U51" s="349"/>
      <c r="V51" s="349"/>
      <c r="W51" s="349"/>
      <c r="X51" s="349"/>
      <c r="Y51" s="349"/>
      <c r="Z51" s="1327"/>
      <c r="AB51" s="1324"/>
      <c r="AC51" s="349"/>
      <c r="AD51" s="349"/>
      <c r="AE51" s="349"/>
      <c r="AF51" s="349"/>
      <c r="AG51" s="349"/>
      <c r="AH51" s="349"/>
      <c r="AI51" s="349"/>
      <c r="AJ51" s="1236"/>
      <c r="AK51" s="349"/>
      <c r="AL51" s="1327"/>
      <c r="AN51" s="1324"/>
      <c r="AO51" s="349"/>
      <c r="AP51" s="349"/>
      <c r="AQ51" s="349"/>
      <c r="AR51" s="349"/>
      <c r="AS51" s="349"/>
      <c r="AT51" s="349"/>
      <c r="AU51" s="349"/>
      <c r="AV51" s="349"/>
      <c r="AW51" s="349"/>
      <c r="AX51" s="1327"/>
      <c r="AZ51" s="1324"/>
      <c r="BA51" s="349"/>
      <c r="BB51" s="349"/>
      <c r="BC51" s="349"/>
      <c r="BD51" s="349"/>
      <c r="BE51" s="349"/>
      <c r="BF51" s="349"/>
      <c r="BG51" s="349"/>
      <c r="BH51" s="349"/>
      <c r="BI51" s="349"/>
      <c r="BJ51" s="1327"/>
      <c r="BL51" s="1324"/>
      <c r="BM51" s="349"/>
      <c r="BN51" s="349"/>
      <c r="BO51" s="349"/>
      <c r="BP51" s="349"/>
      <c r="BQ51" s="349"/>
      <c r="BR51" s="349"/>
      <c r="BS51" s="349"/>
      <c r="BT51" s="349"/>
      <c r="BU51" s="349"/>
      <c r="BV51" s="1327"/>
    </row>
    <row r="52" spans="2:74" ht="10" customHeight="1" thickBot="1" x14ac:dyDescent="0.2">
      <c r="B52" s="161" t="s">
        <v>2</v>
      </c>
      <c r="C52" s="209"/>
    </row>
    <row r="53" spans="2:74" ht="17" thickTop="1" x14ac:dyDescent="0.2">
      <c r="B53" s="1362">
        <v>3</v>
      </c>
      <c r="C53" s="1367" t="s">
        <v>625</v>
      </c>
      <c r="D53" s="1310" t="s">
        <v>42</v>
      </c>
      <c r="E53" s="350"/>
      <c r="F53" s="350"/>
      <c r="G53" s="350"/>
      <c r="H53" s="350"/>
      <c r="I53" s="350"/>
      <c r="J53" s="350"/>
      <c r="K53" s="350"/>
      <c r="L53" s="350"/>
      <c r="M53" s="350"/>
      <c r="N53" s="1313" t="s">
        <v>43</v>
      </c>
      <c r="P53" s="1353" t="s">
        <v>42</v>
      </c>
      <c r="Q53" s="302"/>
      <c r="R53" s="302"/>
      <c r="S53" s="302"/>
      <c r="T53" s="302"/>
      <c r="U53" s="302"/>
      <c r="V53" s="302"/>
      <c r="W53" s="302"/>
      <c r="X53" s="302"/>
      <c r="Y53" s="302"/>
      <c r="Z53" s="1354" t="s">
        <v>43</v>
      </c>
      <c r="AB53" s="1310" t="s">
        <v>42</v>
      </c>
      <c r="AC53" s="350"/>
      <c r="AD53" s="350"/>
      <c r="AE53" s="350"/>
      <c r="AF53" s="350"/>
      <c r="AG53" s="350"/>
      <c r="AH53" s="350"/>
      <c r="AI53" s="350"/>
      <c r="AJ53" s="350"/>
      <c r="AK53" s="350"/>
      <c r="AL53" s="1313" t="s">
        <v>43</v>
      </c>
      <c r="AN53" s="1310" t="s">
        <v>42</v>
      </c>
      <c r="AO53" s="350"/>
      <c r="AP53" s="350"/>
      <c r="AQ53" s="350"/>
      <c r="AR53" s="350"/>
      <c r="AS53" s="350"/>
      <c r="AT53" s="350"/>
      <c r="AU53" s="350"/>
      <c r="AV53" s="350"/>
      <c r="AW53" s="350"/>
      <c r="AX53" s="1313" t="s">
        <v>43</v>
      </c>
      <c r="AZ53" s="1310" t="s">
        <v>42</v>
      </c>
      <c r="BA53" s="350"/>
      <c r="BB53" s="350"/>
      <c r="BC53" s="350"/>
      <c r="BD53" s="350"/>
      <c r="BE53" s="350"/>
      <c r="BF53" s="350"/>
      <c r="BG53" s="350"/>
      <c r="BH53" s="350"/>
      <c r="BI53" s="350"/>
      <c r="BJ53" s="1313" t="s">
        <v>43</v>
      </c>
      <c r="BL53" s="1310" t="s">
        <v>42</v>
      </c>
      <c r="BM53" s="350"/>
      <c r="BN53" s="350"/>
      <c r="BO53" s="350"/>
      <c r="BP53" s="350"/>
      <c r="BQ53" s="350"/>
      <c r="BR53" s="350"/>
      <c r="BS53" s="350"/>
      <c r="BT53" s="350"/>
      <c r="BU53" s="350"/>
      <c r="BV53" s="1313" t="s">
        <v>43</v>
      </c>
    </row>
    <row r="54" spans="2:74" ht="16" x14ac:dyDescent="0.2">
      <c r="B54" s="1362"/>
      <c r="C54" s="1367"/>
      <c r="D54" s="1311"/>
      <c r="E54" s="351"/>
      <c r="F54" s="351"/>
      <c r="G54" s="351"/>
      <c r="H54" s="351"/>
      <c r="I54" s="351"/>
      <c r="J54" s="351"/>
      <c r="K54" s="351"/>
      <c r="L54" s="351"/>
      <c r="M54" s="351"/>
      <c r="N54" s="1314"/>
      <c r="P54" s="1311"/>
      <c r="Q54" s="302"/>
      <c r="R54" s="302"/>
      <c r="S54" s="302"/>
      <c r="T54" s="302"/>
      <c r="U54" s="302"/>
      <c r="V54" s="302"/>
      <c r="W54" s="302"/>
      <c r="X54" s="302"/>
      <c r="Y54" s="302"/>
      <c r="Z54" s="1314"/>
      <c r="AB54" s="1311"/>
      <c r="AC54" s="351"/>
      <c r="AD54" s="351"/>
      <c r="AE54" s="351"/>
      <c r="AF54" s="351"/>
      <c r="AG54" s="351"/>
      <c r="AH54" s="351"/>
      <c r="AI54" s="351"/>
      <c r="AJ54" s="351"/>
      <c r="AK54" s="351"/>
      <c r="AL54" s="1314"/>
      <c r="AN54" s="1311"/>
      <c r="AO54" s="351"/>
      <c r="AP54" s="351"/>
      <c r="AQ54" s="351"/>
      <c r="AR54" s="351"/>
      <c r="AS54" s="351"/>
      <c r="AT54" s="351"/>
      <c r="AU54" s="351"/>
      <c r="AV54" s="351"/>
      <c r="AW54" s="351"/>
      <c r="AX54" s="1314"/>
      <c r="AZ54" s="1311"/>
      <c r="BA54" s="351"/>
      <c r="BB54" s="351"/>
      <c r="BC54" s="351"/>
      <c r="BD54" s="351"/>
      <c r="BE54" s="351"/>
      <c r="BF54" s="351"/>
      <c r="BG54" s="351"/>
      <c r="BH54" s="351"/>
      <c r="BI54" s="351"/>
      <c r="BJ54" s="1314"/>
      <c r="BL54" s="1311"/>
      <c r="BM54" s="351"/>
      <c r="BN54" s="351"/>
      <c r="BO54" s="351"/>
      <c r="BP54" s="351"/>
      <c r="BQ54" s="351"/>
      <c r="BR54" s="351"/>
      <c r="BS54" s="351"/>
      <c r="BT54" s="351"/>
      <c r="BU54" s="351"/>
      <c r="BV54" s="1314"/>
    </row>
    <row r="55" spans="2:74" ht="21" x14ac:dyDescent="0.25">
      <c r="B55" s="1362"/>
      <c r="C55" s="1367"/>
      <c r="D55" s="1311"/>
      <c r="E55" s="352" t="str">
        <f>E47</f>
        <v>Demande mensuelle</v>
      </c>
      <c r="F55" s="352" t="s">
        <v>44</v>
      </c>
      <c r="G55" s="352" t="str">
        <f>G47</f>
        <v>Achalandage mensuel</v>
      </c>
      <c r="H55" s="352" t="s">
        <v>45</v>
      </c>
      <c r="I55" s="352" t="s">
        <v>46</v>
      </c>
      <c r="J55" s="352" t="str">
        <f>J47</f>
        <v>Um/A</v>
      </c>
      <c r="K55" s="352" t="s">
        <v>45</v>
      </c>
      <c r="L55" s="352" t="str">
        <f>L47</f>
        <v>PmO</v>
      </c>
      <c r="M55" s="352" t="s">
        <v>49</v>
      </c>
      <c r="N55" s="1314"/>
      <c r="P55" s="1311"/>
      <c r="Q55" s="303" t="str">
        <f>Q47</f>
        <v>Demande mensuelle</v>
      </c>
      <c r="R55" s="303" t="s">
        <v>44</v>
      </c>
      <c r="S55" s="303" t="str">
        <f>S47</f>
        <v>Achalandage mensuel</v>
      </c>
      <c r="T55" s="303" t="s">
        <v>45</v>
      </c>
      <c r="U55" s="303" t="s">
        <v>46</v>
      </c>
      <c r="V55" s="303" t="str">
        <f>V47</f>
        <v>Um/A</v>
      </c>
      <c r="W55" s="303" t="s">
        <v>45</v>
      </c>
      <c r="X55" s="303" t="str">
        <f>X47</f>
        <v>PmO</v>
      </c>
      <c r="Y55" s="303" t="s">
        <v>49</v>
      </c>
      <c r="Z55" s="1314"/>
      <c r="AB55" s="1311"/>
      <c r="AC55" s="352" t="str">
        <f>AC47</f>
        <v>Demande mensuelle</v>
      </c>
      <c r="AD55" s="352" t="s">
        <v>44</v>
      </c>
      <c r="AE55" s="352" t="str">
        <f>AE47</f>
        <v>Achalandage mensuel</v>
      </c>
      <c r="AF55" s="352" t="s">
        <v>45</v>
      </c>
      <c r="AG55" s="352" t="s">
        <v>46</v>
      </c>
      <c r="AH55" s="352" t="str">
        <f>AH47</f>
        <v>Um/A</v>
      </c>
      <c r="AI55" s="352" t="s">
        <v>45</v>
      </c>
      <c r="AJ55" s="352" t="str">
        <f>AJ47</f>
        <v>PmO</v>
      </c>
      <c r="AK55" s="352" t="s">
        <v>49</v>
      </c>
      <c r="AL55" s="1314"/>
      <c r="AN55" s="1311"/>
      <c r="AO55" s="352" t="str">
        <f>AO47</f>
        <v>Demande mensuelle</v>
      </c>
      <c r="AP55" s="352" t="s">
        <v>44</v>
      </c>
      <c r="AQ55" s="352" t="str">
        <f>AQ47</f>
        <v>Achalandage mensuel</v>
      </c>
      <c r="AR55" s="352" t="s">
        <v>45</v>
      </c>
      <c r="AS55" s="352" t="s">
        <v>46</v>
      </c>
      <c r="AT55" s="352" t="str">
        <f>AT47</f>
        <v>Um/A</v>
      </c>
      <c r="AU55" s="352" t="s">
        <v>45</v>
      </c>
      <c r="AV55" s="352" t="str">
        <f>AV47</f>
        <v>PmO</v>
      </c>
      <c r="AW55" s="352" t="s">
        <v>49</v>
      </c>
      <c r="AX55" s="1314"/>
      <c r="AZ55" s="1311"/>
      <c r="BA55" s="352" t="str">
        <f>BA47</f>
        <v>Coût mensuel</v>
      </c>
      <c r="BB55" s="352" t="s">
        <v>44</v>
      </c>
      <c r="BC55" s="352" t="str">
        <f>BC47</f>
        <v>Achalandage mensuel</v>
      </c>
      <c r="BD55" s="352" t="s">
        <v>45</v>
      </c>
      <c r="BE55" s="352" t="s">
        <v>46</v>
      </c>
      <c r="BF55" s="352" t="s">
        <v>47</v>
      </c>
      <c r="BG55" s="352" t="s">
        <v>45</v>
      </c>
      <c r="BH55" s="352" t="str">
        <f>BH47</f>
        <v>CmO</v>
      </c>
      <c r="BI55" s="352" t="s">
        <v>49</v>
      </c>
      <c r="BJ55" s="1314"/>
      <c r="BL55" s="1311"/>
      <c r="BM55" s="352" t="str">
        <f>BM47</f>
        <v>Bénéfice mensuel</v>
      </c>
      <c r="BN55" s="352" t="s">
        <v>44</v>
      </c>
      <c r="BO55" s="352" t="str">
        <f>BO47</f>
        <v>Achalandage mensuel</v>
      </c>
      <c r="BP55" s="352" t="s">
        <v>45</v>
      </c>
      <c r="BQ55" s="352" t="s">
        <v>46</v>
      </c>
      <c r="BR55" s="352" t="s">
        <v>47</v>
      </c>
      <c r="BS55" s="352" t="s">
        <v>45</v>
      </c>
      <c r="BT55" s="352" t="str">
        <f>BT47</f>
        <v>BmO</v>
      </c>
      <c r="BU55" s="352" t="s">
        <v>49</v>
      </c>
      <c r="BV55" s="1314"/>
    </row>
    <row r="56" spans="2:74" ht="19" x14ac:dyDescent="0.25">
      <c r="B56" s="1362"/>
      <c r="C56" s="1367"/>
      <c r="D56" s="1311"/>
      <c r="E56" s="353" t="s">
        <v>2</v>
      </c>
      <c r="F56" s="354"/>
      <c r="G56" s="353"/>
      <c r="H56" s="354"/>
      <c r="I56" s="354"/>
      <c r="J56" s="354"/>
      <c r="K56" s="354"/>
      <c r="L56" s="354"/>
      <c r="M56" s="354"/>
      <c r="N56" s="1314"/>
      <c r="P56" s="1311"/>
      <c r="Q56" s="304" t="s">
        <v>2</v>
      </c>
      <c r="R56" s="305"/>
      <c r="S56" s="304"/>
      <c r="T56" s="305"/>
      <c r="U56" s="305"/>
      <c r="V56" s="305"/>
      <c r="W56" s="305"/>
      <c r="X56" s="305"/>
      <c r="Y56" s="305"/>
      <c r="Z56" s="1314"/>
      <c r="AB56" s="1311"/>
      <c r="AC56" s="353" t="s">
        <v>2</v>
      </c>
      <c r="AD56" s="354"/>
      <c r="AE56" s="353"/>
      <c r="AF56" s="354"/>
      <c r="AG56" s="354"/>
      <c r="AH56" s="354"/>
      <c r="AI56" s="354"/>
      <c r="AJ56" s="354"/>
      <c r="AK56" s="354"/>
      <c r="AL56" s="1314"/>
      <c r="AN56" s="1311"/>
      <c r="AO56" s="353" t="s">
        <v>2</v>
      </c>
      <c r="AP56" s="354"/>
      <c r="AQ56" s="353"/>
      <c r="AR56" s="354"/>
      <c r="AS56" s="354"/>
      <c r="AT56" s="354"/>
      <c r="AU56" s="354"/>
      <c r="AV56" s="354"/>
      <c r="AW56" s="354"/>
      <c r="AX56" s="1314"/>
      <c r="AZ56" s="1311"/>
      <c r="BA56" s="353" t="s">
        <v>2</v>
      </c>
      <c r="BB56" s="354"/>
      <c r="BC56" s="353"/>
      <c r="BD56" s="354"/>
      <c r="BE56" s="354"/>
      <c r="BF56" s="354"/>
      <c r="BG56" s="354"/>
      <c r="BH56" s="354"/>
      <c r="BI56" s="354"/>
      <c r="BJ56" s="1314"/>
      <c r="BL56" s="1311"/>
      <c r="BM56" s="353" t="s">
        <v>2</v>
      </c>
      <c r="BN56" s="354"/>
      <c r="BO56" s="353"/>
      <c r="BP56" s="354"/>
      <c r="BQ56" s="354"/>
      <c r="BR56" s="354"/>
      <c r="BS56" s="354"/>
      <c r="BT56" s="354"/>
      <c r="BU56" s="354"/>
      <c r="BV56" s="1314"/>
    </row>
    <row r="57" spans="2:74" ht="26" x14ac:dyDescent="0.3">
      <c r="B57" s="1362"/>
      <c r="C57" s="1367"/>
      <c r="D57" s="1311"/>
      <c r="E57" s="355" t="str">
        <f>E49</f>
        <v>D</v>
      </c>
      <c r="F57" s="356"/>
      <c r="G57" s="355" t="str">
        <f>G49</f>
        <v>A</v>
      </c>
      <c r="H57" s="356"/>
      <c r="I57" s="356"/>
      <c r="J57" s="355" t="str">
        <f>+J55</f>
        <v>Um/A</v>
      </c>
      <c r="K57" s="356"/>
      <c r="L57" s="355" t="str">
        <f>+L55</f>
        <v>PmO</v>
      </c>
      <c r="M57" s="356"/>
      <c r="N57" s="1314"/>
      <c r="P57" s="1311"/>
      <c r="Q57" s="306" t="str">
        <f>Q49</f>
        <v>D</v>
      </c>
      <c r="R57" s="307"/>
      <c r="S57" s="306" t="str">
        <f>S49</f>
        <v>A</v>
      </c>
      <c r="T57" s="307"/>
      <c r="U57" s="307"/>
      <c r="V57" s="306" t="str">
        <f>+V55</f>
        <v>Um/A</v>
      </c>
      <c r="W57" s="307"/>
      <c r="X57" s="306" t="str">
        <f>+X55</f>
        <v>PmO</v>
      </c>
      <c r="Y57" s="307"/>
      <c r="Z57" s="1314"/>
      <c r="AB57" s="1311"/>
      <c r="AC57" s="355" t="str">
        <f>AC49</f>
        <v>D</v>
      </c>
      <c r="AD57" s="356"/>
      <c r="AE57" s="355" t="str">
        <f>AE49</f>
        <v>A</v>
      </c>
      <c r="AF57" s="356"/>
      <c r="AG57" s="356"/>
      <c r="AH57" s="355" t="str">
        <f>+AH55</f>
        <v>Um/A</v>
      </c>
      <c r="AI57" s="356"/>
      <c r="AJ57" s="355" t="str">
        <f>+AJ55</f>
        <v>PmO</v>
      </c>
      <c r="AK57" s="356"/>
      <c r="AL57" s="1314"/>
      <c r="AN57" s="1311"/>
      <c r="AO57" s="355" t="str">
        <f>AO49</f>
        <v>D</v>
      </c>
      <c r="AP57" s="356"/>
      <c r="AQ57" s="355" t="str">
        <f>AQ49</f>
        <v>A</v>
      </c>
      <c r="AR57" s="356"/>
      <c r="AS57" s="356"/>
      <c r="AT57" s="355" t="str">
        <f>+AT55</f>
        <v>Um/A</v>
      </c>
      <c r="AU57" s="356"/>
      <c r="AV57" s="355" t="str">
        <f>+AV55</f>
        <v>PmO</v>
      </c>
      <c r="AW57" s="356"/>
      <c r="AX57" s="1314"/>
      <c r="AZ57" s="1311"/>
      <c r="BA57" s="355" t="str">
        <f>BA49</f>
        <v xml:space="preserve">C </v>
      </c>
      <c r="BB57" s="356"/>
      <c r="BC57" s="355" t="str">
        <f>BC49</f>
        <v>A</v>
      </c>
      <c r="BD57" s="356"/>
      <c r="BE57" s="356"/>
      <c r="BF57" s="355" t="str">
        <f>+BF55</f>
        <v>Um/A</v>
      </c>
      <c r="BG57" s="356"/>
      <c r="BH57" s="355" t="str">
        <f>+BH55</f>
        <v>CmO</v>
      </c>
      <c r="BI57" s="356"/>
      <c r="BJ57" s="1314"/>
      <c r="BL57" s="1311"/>
      <c r="BM57" s="355" t="str">
        <f>BM49</f>
        <v xml:space="preserve">B </v>
      </c>
      <c r="BN57" s="356"/>
      <c r="BO57" s="355" t="str">
        <f>BO49</f>
        <v>A</v>
      </c>
      <c r="BP57" s="356"/>
      <c r="BQ57" s="356"/>
      <c r="BR57" s="355" t="str">
        <f>+BR55</f>
        <v>Um/A</v>
      </c>
      <c r="BS57" s="356"/>
      <c r="BT57" s="355" t="str">
        <f>+BT55</f>
        <v>BmO</v>
      </c>
      <c r="BU57" s="356"/>
      <c r="BV57" s="1314"/>
    </row>
    <row r="58" spans="2:74" ht="21" x14ac:dyDescent="0.25">
      <c r="B58" s="1362"/>
      <c r="C58" s="1367"/>
      <c r="D58" s="1311"/>
      <c r="E58" s="337">
        <f>+Q58+AC58+AO58</f>
        <v>98331.755000000019</v>
      </c>
      <c r="F58" s="352" t="s">
        <v>44</v>
      </c>
      <c r="G58" s="338">
        <f>'% Occupation'!J19</f>
        <v>4773</v>
      </c>
      <c r="H58" s="352" t="s">
        <v>45</v>
      </c>
      <c r="I58" s="352" t="s">
        <v>46</v>
      </c>
      <c r="J58" s="339">
        <f>+V58+AH58+AT58</f>
        <v>3.2</v>
      </c>
      <c r="K58" s="352" t="s">
        <v>45</v>
      </c>
      <c r="L58" s="340">
        <f>E58/G58/J58</f>
        <v>6.4380208333333337</v>
      </c>
      <c r="M58" s="352" t="s">
        <v>49</v>
      </c>
      <c r="N58" s="1314"/>
      <c r="P58" s="1311"/>
      <c r="Q58" s="282">
        <f>+S58*(V58*X58)</f>
        <v>48278.895000000011</v>
      </c>
      <c r="R58" s="303" t="s">
        <v>44</v>
      </c>
      <c r="S58" s="165">
        <f>G58</f>
        <v>4773</v>
      </c>
      <c r="T58" s="303" t="s">
        <v>45</v>
      </c>
      <c r="U58" s="303" t="s">
        <v>46</v>
      </c>
      <c r="V58" s="309">
        <v>2.1</v>
      </c>
      <c r="W58" s="303" t="s">
        <v>45</v>
      </c>
      <c r="X58" s="1249">
        <f>'Calcul CmO et PmO'!F279</f>
        <v>4.8166666666666673</v>
      </c>
      <c r="Y58" s="303" t="s">
        <v>49</v>
      </c>
      <c r="Z58" s="1314"/>
      <c r="AB58" s="1311"/>
      <c r="AC58" s="337">
        <f>+AE58*(AH58*AJ58)</f>
        <v>50052.860000000008</v>
      </c>
      <c r="AD58" s="352" t="s">
        <v>44</v>
      </c>
      <c r="AE58" s="338">
        <f>S58</f>
        <v>4773</v>
      </c>
      <c r="AF58" s="352" t="s">
        <v>45</v>
      </c>
      <c r="AG58" s="352" t="s">
        <v>46</v>
      </c>
      <c r="AH58" s="375">
        <v>1.1000000000000001</v>
      </c>
      <c r="AI58" s="352" t="s">
        <v>45</v>
      </c>
      <c r="AJ58" s="1235">
        <f>'Calcul CmO et PmO'!F294</f>
        <v>9.5333333333333332</v>
      </c>
      <c r="AK58" s="352" t="s">
        <v>49</v>
      </c>
      <c r="AL58" s="1314"/>
      <c r="AN58" s="1311"/>
      <c r="AO58" s="337">
        <f>+AQ58*(AT58*AV58)</f>
        <v>0</v>
      </c>
      <c r="AP58" s="352" t="s">
        <v>44</v>
      </c>
      <c r="AQ58" s="338">
        <f>AE58</f>
        <v>4773</v>
      </c>
      <c r="AR58" s="352" t="s">
        <v>45</v>
      </c>
      <c r="AS58" s="352" t="s">
        <v>46</v>
      </c>
      <c r="AT58" s="375">
        <f>AT50</f>
        <v>0</v>
      </c>
      <c r="AU58" s="352" t="s">
        <v>45</v>
      </c>
      <c r="AV58" s="376">
        <f>AV50</f>
        <v>0</v>
      </c>
      <c r="AW58" s="352" t="s">
        <v>49</v>
      </c>
      <c r="AX58" s="1314"/>
      <c r="AZ58" s="1311"/>
      <c r="BA58" s="337">
        <f>'État des Résultats'!W14-'État des Résultats'!W45</f>
        <v>90449.333281751868</v>
      </c>
      <c r="BB58" s="352" t="s">
        <v>44</v>
      </c>
      <c r="BC58" s="338">
        <f>G58</f>
        <v>4773</v>
      </c>
      <c r="BD58" s="352" t="s">
        <v>45</v>
      </c>
      <c r="BE58" s="352" t="s">
        <v>46</v>
      </c>
      <c r="BF58" s="339">
        <f>J58</f>
        <v>3.2</v>
      </c>
      <c r="BG58" s="352" t="s">
        <v>45</v>
      </c>
      <c r="BH58" s="340">
        <f>BA58/BC58/BF58</f>
        <v>5.9219393778645424</v>
      </c>
      <c r="BI58" s="352" t="s">
        <v>49</v>
      </c>
      <c r="BJ58" s="1314"/>
      <c r="BL58" s="1311"/>
      <c r="BM58" s="337">
        <f>'État des Résultats'!W45</f>
        <v>7882.4217182481443</v>
      </c>
      <c r="BN58" s="352" t="s">
        <v>44</v>
      </c>
      <c r="BO58" s="338">
        <f>G58</f>
        <v>4773</v>
      </c>
      <c r="BP58" s="352" t="s">
        <v>45</v>
      </c>
      <c r="BQ58" s="352" t="s">
        <v>46</v>
      </c>
      <c r="BR58" s="339">
        <f>J58</f>
        <v>3.2</v>
      </c>
      <c r="BS58" s="352" t="s">
        <v>45</v>
      </c>
      <c r="BT58" s="340">
        <f>BM58/BO58/BR58</f>
        <v>0.51608145546879214</v>
      </c>
      <c r="BU58" s="352" t="s">
        <v>49</v>
      </c>
      <c r="BV58" s="1314"/>
    </row>
    <row r="59" spans="2:74" ht="17" thickBot="1" x14ac:dyDescent="0.25">
      <c r="B59" s="1362"/>
      <c r="C59" s="1367"/>
      <c r="D59" s="1312"/>
      <c r="E59" s="357"/>
      <c r="F59" s="357"/>
      <c r="G59" s="357"/>
      <c r="H59" s="357"/>
      <c r="I59" s="357"/>
      <c r="J59" s="357"/>
      <c r="K59" s="357"/>
      <c r="L59" s="357"/>
      <c r="M59" s="357"/>
      <c r="N59" s="1315"/>
      <c r="P59" s="1311"/>
      <c r="Q59" s="307"/>
      <c r="R59" s="307"/>
      <c r="S59" s="307"/>
      <c r="T59" s="307"/>
      <c r="U59" s="307"/>
      <c r="V59" s="307"/>
      <c r="W59" s="307"/>
      <c r="X59" s="307"/>
      <c r="Y59" s="307"/>
      <c r="Z59" s="1314"/>
      <c r="AB59" s="1312"/>
      <c r="AC59" s="357"/>
      <c r="AD59" s="357"/>
      <c r="AE59" s="357"/>
      <c r="AF59" s="357"/>
      <c r="AG59" s="357"/>
      <c r="AH59" s="357"/>
      <c r="AI59" s="357"/>
      <c r="AJ59" s="1241"/>
      <c r="AK59" s="357"/>
      <c r="AL59" s="1315"/>
      <c r="AN59" s="1312"/>
      <c r="AO59" s="357"/>
      <c r="AP59" s="357"/>
      <c r="AQ59" s="357"/>
      <c r="AR59" s="357"/>
      <c r="AS59" s="357"/>
      <c r="AT59" s="357"/>
      <c r="AU59" s="357"/>
      <c r="AV59" s="357"/>
      <c r="AW59" s="357"/>
      <c r="AX59" s="1315"/>
      <c r="AZ59" s="1312"/>
      <c r="BA59" s="357"/>
      <c r="BB59" s="357"/>
      <c r="BC59" s="357"/>
      <c r="BD59" s="357"/>
      <c r="BE59" s="357"/>
      <c r="BF59" s="357"/>
      <c r="BG59" s="357"/>
      <c r="BH59" s="357"/>
      <c r="BI59" s="357"/>
      <c r="BJ59" s="1315"/>
      <c r="BL59" s="1312"/>
      <c r="BM59" s="357"/>
      <c r="BN59" s="357"/>
      <c r="BO59" s="357"/>
      <c r="BP59" s="357"/>
      <c r="BQ59" s="357"/>
      <c r="BR59" s="357"/>
      <c r="BS59" s="357"/>
      <c r="BT59" s="357"/>
      <c r="BU59" s="357"/>
      <c r="BV59" s="1315"/>
    </row>
    <row r="60" spans="2:74" ht="5" customHeight="1" thickTop="1" thickBot="1" x14ac:dyDescent="0.25">
      <c r="B60" s="1362"/>
      <c r="C60" s="374"/>
      <c r="D60" s="308"/>
      <c r="AJ60" s="1237"/>
      <c r="AZ60" s="308"/>
      <c r="BL60" s="308"/>
    </row>
    <row r="61" spans="2:74" ht="17" thickTop="1" x14ac:dyDescent="0.2">
      <c r="B61" s="1362"/>
      <c r="C61" s="1367" t="s">
        <v>50</v>
      </c>
      <c r="D61" s="1310" t="s">
        <v>42</v>
      </c>
      <c r="E61" s="350"/>
      <c r="F61" s="350"/>
      <c r="G61" s="350"/>
      <c r="H61" s="350"/>
      <c r="I61" s="350"/>
      <c r="J61" s="350"/>
      <c r="K61" s="350"/>
      <c r="L61" s="350"/>
      <c r="M61" s="350"/>
      <c r="N61" s="1313" t="s">
        <v>43</v>
      </c>
      <c r="P61" s="1310" t="s">
        <v>42</v>
      </c>
      <c r="Q61" s="350"/>
      <c r="R61" s="350"/>
      <c r="S61" s="350"/>
      <c r="T61" s="350"/>
      <c r="U61" s="350"/>
      <c r="V61" s="350"/>
      <c r="W61" s="350"/>
      <c r="X61" s="350"/>
      <c r="Y61" s="350"/>
      <c r="Z61" s="1313" t="s">
        <v>43</v>
      </c>
      <c r="AB61" s="1310" t="s">
        <v>42</v>
      </c>
      <c r="AC61" s="350"/>
      <c r="AD61" s="350"/>
      <c r="AE61" s="350"/>
      <c r="AF61" s="350"/>
      <c r="AG61" s="350"/>
      <c r="AH61" s="350"/>
      <c r="AI61" s="350"/>
      <c r="AJ61" s="1242"/>
      <c r="AK61" s="350"/>
      <c r="AL61" s="1313" t="s">
        <v>43</v>
      </c>
      <c r="AN61" s="1310" t="s">
        <v>42</v>
      </c>
      <c r="AO61" s="350"/>
      <c r="AP61" s="350"/>
      <c r="AQ61" s="350"/>
      <c r="AR61" s="350"/>
      <c r="AS61" s="350"/>
      <c r="AT61" s="350"/>
      <c r="AU61" s="350"/>
      <c r="AV61" s="350"/>
      <c r="AW61" s="350"/>
      <c r="AX61" s="1313" t="s">
        <v>43</v>
      </c>
      <c r="AZ61" s="1310" t="s">
        <v>42</v>
      </c>
      <c r="BA61" s="350"/>
      <c r="BB61" s="350"/>
      <c r="BC61" s="350"/>
      <c r="BD61" s="350"/>
      <c r="BE61" s="350"/>
      <c r="BF61" s="350"/>
      <c r="BG61" s="350"/>
      <c r="BH61" s="350"/>
      <c r="BI61" s="350"/>
      <c r="BJ61" s="1313" t="s">
        <v>43</v>
      </c>
      <c r="BL61" s="1310" t="s">
        <v>42</v>
      </c>
      <c r="BM61" s="350"/>
      <c r="BN61" s="350"/>
      <c r="BO61" s="350"/>
      <c r="BP61" s="350"/>
      <c r="BQ61" s="350"/>
      <c r="BR61" s="350"/>
      <c r="BS61" s="350"/>
      <c r="BT61" s="350"/>
      <c r="BU61" s="350"/>
      <c r="BV61" s="1313" t="s">
        <v>43</v>
      </c>
    </row>
    <row r="62" spans="2:74" ht="16" x14ac:dyDescent="0.2">
      <c r="B62" s="1362"/>
      <c r="C62" s="1367"/>
      <c r="D62" s="1311"/>
      <c r="E62" s="351"/>
      <c r="F62" s="351"/>
      <c r="G62" s="351"/>
      <c r="H62" s="351"/>
      <c r="I62" s="351"/>
      <c r="J62" s="351"/>
      <c r="K62" s="351"/>
      <c r="L62" s="351"/>
      <c r="M62" s="351"/>
      <c r="N62" s="1314"/>
      <c r="P62" s="1311"/>
      <c r="Q62" s="351"/>
      <c r="R62" s="351"/>
      <c r="S62" s="351"/>
      <c r="T62" s="351"/>
      <c r="U62" s="351"/>
      <c r="V62" s="351"/>
      <c r="W62" s="351"/>
      <c r="X62" s="351"/>
      <c r="Y62" s="351"/>
      <c r="Z62" s="1314"/>
      <c r="AB62" s="1311"/>
      <c r="AC62" s="351"/>
      <c r="AD62" s="351"/>
      <c r="AE62" s="351"/>
      <c r="AF62" s="351"/>
      <c r="AG62" s="351"/>
      <c r="AH62" s="351"/>
      <c r="AI62" s="351"/>
      <c r="AJ62" s="1243"/>
      <c r="AK62" s="351"/>
      <c r="AL62" s="1314"/>
      <c r="AN62" s="1311"/>
      <c r="AO62" s="351"/>
      <c r="AP62" s="351"/>
      <c r="AQ62" s="351"/>
      <c r="AR62" s="351"/>
      <c r="AS62" s="351"/>
      <c r="AT62" s="351"/>
      <c r="AU62" s="351"/>
      <c r="AV62" s="351"/>
      <c r="AW62" s="351"/>
      <c r="AX62" s="1314"/>
      <c r="AZ62" s="1311"/>
      <c r="BA62" s="351"/>
      <c r="BB62" s="351"/>
      <c r="BC62" s="351"/>
      <c r="BD62" s="351"/>
      <c r="BE62" s="351"/>
      <c r="BF62" s="351"/>
      <c r="BG62" s="351"/>
      <c r="BH62" s="351"/>
      <c r="BI62" s="351"/>
      <c r="BJ62" s="1314"/>
      <c r="BL62" s="1311"/>
      <c r="BM62" s="351"/>
      <c r="BN62" s="351"/>
      <c r="BO62" s="351"/>
      <c r="BP62" s="351"/>
      <c r="BQ62" s="351"/>
      <c r="BR62" s="351"/>
      <c r="BS62" s="351"/>
      <c r="BT62" s="351"/>
      <c r="BU62" s="351"/>
      <c r="BV62" s="1314"/>
    </row>
    <row r="63" spans="2:74" ht="21" x14ac:dyDescent="0.25">
      <c r="B63" s="1362"/>
      <c r="C63" s="1367"/>
      <c r="D63" s="1311"/>
      <c r="E63" s="352" t="str">
        <f>E55</f>
        <v>Demande mensuelle</v>
      </c>
      <c r="F63" s="352" t="s">
        <v>44</v>
      </c>
      <c r="G63" s="352" t="str">
        <f>G55</f>
        <v>Achalandage mensuel</v>
      </c>
      <c r="H63" s="352" t="s">
        <v>45</v>
      </c>
      <c r="I63" s="352" t="s">
        <v>46</v>
      </c>
      <c r="J63" s="352" t="str">
        <f>J55</f>
        <v>Um/A</v>
      </c>
      <c r="K63" s="352" t="s">
        <v>45</v>
      </c>
      <c r="L63" s="352" t="str">
        <f>L55</f>
        <v>PmO</v>
      </c>
      <c r="M63" s="352" t="s">
        <v>49</v>
      </c>
      <c r="N63" s="1314"/>
      <c r="P63" s="1311"/>
      <c r="Q63" s="352" t="str">
        <f>Q55</f>
        <v>Demande mensuelle</v>
      </c>
      <c r="R63" s="352" t="s">
        <v>44</v>
      </c>
      <c r="S63" s="352" t="str">
        <f>S55</f>
        <v>Achalandage mensuel</v>
      </c>
      <c r="T63" s="352" t="s">
        <v>45</v>
      </c>
      <c r="U63" s="352" t="s">
        <v>46</v>
      </c>
      <c r="V63" s="352" t="str">
        <f>V55</f>
        <v>Um/A</v>
      </c>
      <c r="W63" s="352" t="s">
        <v>45</v>
      </c>
      <c r="X63" s="352" t="str">
        <f>X55</f>
        <v>PmO</v>
      </c>
      <c r="Y63" s="352" t="s">
        <v>49</v>
      </c>
      <c r="Z63" s="1314"/>
      <c r="AB63" s="1311"/>
      <c r="AC63" s="352" t="str">
        <f>AC55</f>
        <v>Demande mensuelle</v>
      </c>
      <c r="AD63" s="352" t="s">
        <v>44</v>
      </c>
      <c r="AE63" s="352" t="str">
        <f>AE55</f>
        <v>Achalandage mensuel</v>
      </c>
      <c r="AF63" s="352" t="s">
        <v>45</v>
      </c>
      <c r="AG63" s="352" t="s">
        <v>46</v>
      </c>
      <c r="AH63" s="352" t="str">
        <f>AH55</f>
        <v>Um/A</v>
      </c>
      <c r="AI63" s="352" t="s">
        <v>45</v>
      </c>
      <c r="AJ63" s="352" t="str">
        <f>AJ55</f>
        <v>PmO</v>
      </c>
      <c r="AK63" s="352" t="s">
        <v>49</v>
      </c>
      <c r="AL63" s="1314"/>
      <c r="AN63" s="1311"/>
      <c r="AO63" s="352" t="str">
        <f>AO55</f>
        <v>Demande mensuelle</v>
      </c>
      <c r="AP63" s="352" t="s">
        <v>44</v>
      </c>
      <c r="AQ63" s="352" t="str">
        <f>AQ55</f>
        <v>Achalandage mensuel</v>
      </c>
      <c r="AR63" s="352" t="s">
        <v>45</v>
      </c>
      <c r="AS63" s="352" t="s">
        <v>46</v>
      </c>
      <c r="AT63" s="352" t="str">
        <f>AT55</f>
        <v>Um/A</v>
      </c>
      <c r="AU63" s="352" t="s">
        <v>45</v>
      </c>
      <c r="AV63" s="352" t="str">
        <f>AV55</f>
        <v>PmO</v>
      </c>
      <c r="AW63" s="352" t="s">
        <v>49</v>
      </c>
      <c r="AX63" s="1314"/>
      <c r="AZ63" s="1311"/>
      <c r="BA63" s="352" t="str">
        <f>BA55</f>
        <v>Coût mensuel</v>
      </c>
      <c r="BB63" s="352" t="s">
        <v>44</v>
      </c>
      <c r="BC63" s="352" t="str">
        <f>BC55</f>
        <v>Achalandage mensuel</v>
      </c>
      <c r="BD63" s="352" t="s">
        <v>45</v>
      </c>
      <c r="BE63" s="352" t="s">
        <v>46</v>
      </c>
      <c r="BF63" s="352" t="str">
        <f>BF55</f>
        <v>Um/A</v>
      </c>
      <c r="BG63" s="352" t="s">
        <v>45</v>
      </c>
      <c r="BH63" s="352" t="str">
        <f>BH55</f>
        <v>CmO</v>
      </c>
      <c r="BI63" s="352" t="s">
        <v>49</v>
      </c>
      <c r="BJ63" s="1314"/>
      <c r="BL63" s="1311"/>
      <c r="BM63" s="352" t="str">
        <f>BM55</f>
        <v>Bénéfice mensuel</v>
      </c>
      <c r="BN63" s="352" t="s">
        <v>44</v>
      </c>
      <c r="BO63" s="352" t="str">
        <f>BO55</f>
        <v>Achalandage mensuel</v>
      </c>
      <c r="BP63" s="352" t="s">
        <v>45</v>
      </c>
      <c r="BQ63" s="352" t="s">
        <v>46</v>
      </c>
      <c r="BR63" s="352" t="str">
        <f>BR55</f>
        <v>Um/A</v>
      </c>
      <c r="BS63" s="352" t="s">
        <v>45</v>
      </c>
      <c r="BT63" s="352" t="str">
        <f>BT55</f>
        <v>BmO</v>
      </c>
      <c r="BU63" s="352" t="s">
        <v>49</v>
      </c>
      <c r="BV63" s="1314"/>
    </row>
    <row r="64" spans="2:74" ht="19" x14ac:dyDescent="0.25">
      <c r="B64" s="1362"/>
      <c r="C64" s="1367"/>
      <c r="D64" s="1311"/>
      <c r="E64" s="353" t="s">
        <v>2</v>
      </c>
      <c r="F64" s="354"/>
      <c r="G64" s="353"/>
      <c r="H64" s="354"/>
      <c r="I64" s="354"/>
      <c r="J64" s="354"/>
      <c r="K64" s="354"/>
      <c r="L64" s="354"/>
      <c r="M64" s="354"/>
      <c r="N64" s="1314"/>
      <c r="P64" s="1311"/>
      <c r="Q64" s="353" t="s">
        <v>2</v>
      </c>
      <c r="R64" s="354"/>
      <c r="S64" s="353"/>
      <c r="T64" s="354"/>
      <c r="U64" s="354"/>
      <c r="V64" s="354"/>
      <c r="W64" s="354"/>
      <c r="X64" s="354"/>
      <c r="Y64" s="354"/>
      <c r="Z64" s="1314"/>
      <c r="AB64" s="1311"/>
      <c r="AC64" s="353" t="s">
        <v>2</v>
      </c>
      <c r="AD64" s="354"/>
      <c r="AE64" s="353"/>
      <c r="AF64" s="354"/>
      <c r="AG64" s="354"/>
      <c r="AH64" s="354"/>
      <c r="AI64" s="354"/>
      <c r="AJ64" s="1244"/>
      <c r="AK64" s="354"/>
      <c r="AL64" s="1314"/>
      <c r="AN64" s="1311"/>
      <c r="AO64" s="353" t="s">
        <v>2</v>
      </c>
      <c r="AP64" s="354"/>
      <c r="AQ64" s="353"/>
      <c r="AR64" s="354"/>
      <c r="AS64" s="354"/>
      <c r="AT64" s="354"/>
      <c r="AU64" s="354"/>
      <c r="AV64" s="354"/>
      <c r="AW64" s="354"/>
      <c r="AX64" s="1314"/>
      <c r="AZ64" s="1311"/>
      <c r="BA64" s="353" t="s">
        <v>2</v>
      </c>
      <c r="BB64" s="354"/>
      <c r="BC64" s="353"/>
      <c r="BD64" s="354"/>
      <c r="BE64" s="354"/>
      <c r="BF64" s="354"/>
      <c r="BG64" s="354"/>
      <c r="BH64" s="354"/>
      <c r="BI64" s="354"/>
      <c r="BJ64" s="1314"/>
      <c r="BL64" s="1311"/>
      <c r="BM64" s="353" t="s">
        <v>2</v>
      </c>
      <c r="BN64" s="354"/>
      <c r="BO64" s="353"/>
      <c r="BP64" s="354"/>
      <c r="BQ64" s="354"/>
      <c r="BR64" s="354"/>
      <c r="BS64" s="354"/>
      <c r="BT64" s="354"/>
      <c r="BU64" s="354"/>
      <c r="BV64" s="1314"/>
    </row>
    <row r="65" spans="2:74" ht="26" x14ac:dyDescent="0.3">
      <c r="B65" s="1362"/>
      <c r="C65" s="1367"/>
      <c r="D65" s="1311"/>
      <c r="E65" s="355" t="str">
        <f>E57</f>
        <v>D</v>
      </c>
      <c r="F65" s="356"/>
      <c r="G65" s="355" t="str">
        <f>G57</f>
        <v>A</v>
      </c>
      <c r="H65" s="356"/>
      <c r="I65" s="356"/>
      <c r="J65" s="355" t="str">
        <f>+J63</f>
        <v>Um/A</v>
      </c>
      <c r="K65" s="356"/>
      <c r="L65" s="355" t="str">
        <f>+L63</f>
        <v>PmO</v>
      </c>
      <c r="M65" s="356"/>
      <c r="N65" s="1314"/>
      <c r="P65" s="1311"/>
      <c r="Q65" s="355" t="str">
        <f>Q57</f>
        <v>D</v>
      </c>
      <c r="R65" s="356"/>
      <c r="S65" s="355" t="str">
        <f>S57</f>
        <v>A</v>
      </c>
      <c r="T65" s="356"/>
      <c r="U65" s="356"/>
      <c r="V65" s="355" t="str">
        <f>+V63</f>
        <v>Um/A</v>
      </c>
      <c r="W65" s="356"/>
      <c r="X65" s="355" t="str">
        <f>+X63</f>
        <v>PmO</v>
      </c>
      <c r="Y65" s="356"/>
      <c r="Z65" s="1314"/>
      <c r="AB65" s="1311"/>
      <c r="AC65" s="355" t="str">
        <f>AC57</f>
        <v>D</v>
      </c>
      <c r="AD65" s="356"/>
      <c r="AE65" s="355" t="str">
        <f>AE57</f>
        <v>A</v>
      </c>
      <c r="AF65" s="356"/>
      <c r="AG65" s="356"/>
      <c r="AH65" s="355" t="str">
        <f>+AH63</f>
        <v>Um/A</v>
      </c>
      <c r="AI65" s="356"/>
      <c r="AJ65" s="355" t="str">
        <f>+AJ63</f>
        <v>PmO</v>
      </c>
      <c r="AK65" s="356"/>
      <c r="AL65" s="1314"/>
      <c r="AN65" s="1311"/>
      <c r="AO65" s="355" t="str">
        <f>AO57</f>
        <v>D</v>
      </c>
      <c r="AP65" s="356"/>
      <c r="AQ65" s="355" t="str">
        <f>AQ57</f>
        <v>A</v>
      </c>
      <c r="AR65" s="356"/>
      <c r="AS65" s="356"/>
      <c r="AT65" s="355" t="str">
        <f>+AT63</f>
        <v>Um/A</v>
      </c>
      <c r="AU65" s="356"/>
      <c r="AV65" s="355" t="str">
        <f>+AV63</f>
        <v>PmO</v>
      </c>
      <c r="AW65" s="356"/>
      <c r="AX65" s="1314"/>
      <c r="AZ65" s="1311"/>
      <c r="BA65" s="355" t="str">
        <f>BA57</f>
        <v xml:space="preserve">C </v>
      </c>
      <c r="BB65" s="356"/>
      <c r="BC65" s="355" t="str">
        <f>BC57</f>
        <v>A</v>
      </c>
      <c r="BD65" s="356"/>
      <c r="BE65" s="356"/>
      <c r="BF65" s="355" t="str">
        <f>+BF63</f>
        <v>Um/A</v>
      </c>
      <c r="BG65" s="356"/>
      <c r="BH65" s="355" t="str">
        <f>+BH63</f>
        <v>CmO</v>
      </c>
      <c r="BI65" s="356"/>
      <c r="BJ65" s="1314"/>
      <c r="BL65" s="1311"/>
      <c r="BM65" s="355" t="str">
        <f>BM57</f>
        <v xml:space="preserve">B </v>
      </c>
      <c r="BN65" s="356"/>
      <c r="BO65" s="355" t="str">
        <f>BO57</f>
        <v>A</v>
      </c>
      <c r="BP65" s="356"/>
      <c r="BQ65" s="356"/>
      <c r="BR65" s="355" t="str">
        <f>+BR63</f>
        <v>Um/A</v>
      </c>
      <c r="BS65" s="356"/>
      <c r="BT65" s="355" t="str">
        <f>+BT63</f>
        <v>BmO</v>
      </c>
      <c r="BU65" s="356"/>
      <c r="BV65" s="1314"/>
    </row>
    <row r="66" spans="2:74" ht="21" x14ac:dyDescent="0.25">
      <c r="B66" s="1362"/>
      <c r="C66" s="1367"/>
      <c r="D66" s="1311"/>
      <c r="E66" s="337">
        <f>+Q66+AC66+AO66</f>
        <v>99629.66</v>
      </c>
      <c r="F66" s="352" t="s">
        <v>44</v>
      </c>
      <c r="G66" s="338">
        <f>'% Occupation'!K19</f>
        <v>4836</v>
      </c>
      <c r="H66" s="352" t="s">
        <v>45</v>
      </c>
      <c r="I66" s="352" t="s">
        <v>46</v>
      </c>
      <c r="J66" s="339">
        <f>+V66+AH66+AT66</f>
        <v>3.2</v>
      </c>
      <c r="K66" s="352" t="s">
        <v>45</v>
      </c>
      <c r="L66" s="340">
        <f>E66/G66/J66</f>
        <v>6.4380208333333329</v>
      </c>
      <c r="M66" s="352" t="s">
        <v>49</v>
      </c>
      <c r="N66" s="1314"/>
      <c r="P66" s="1311"/>
      <c r="Q66" s="337">
        <f>+S66*(V66*X66)</f>
        <v>48916.140000000007</v>
      </c>
      <c r="R66" s="352" t="s">
        <v>44</v>
      </c>
      <c r="S66" s="338">
        <f>G66</f>
        <v>4836</v>
      </c>
      <c r="T66" s="352" t="s">
        <v>45</v>
      </c>
      <c r="U66" s="352" t="s">
        <v>46</v>
      </c>
      <c r="V66" s="375">
        <f>V58</f>
        <v>2.1</v>
      </c>
      <c r="W66" s="352" t="s">
        <v>45</v>
      </c>
      <c r="X66" s="1083">
        <f>'Calcul CmO et PmO'!F322</f>
        <v>4.8166666666666673</v>
      </c>
      <c r="Y66" s="352" t="s">
        <v>49</v>
      </c>
      <c r="Z66" s="1314"/>
      <c r="AB66" s="1311"/>
      <c r="AC66" s="337">
        <f>+AE66*(AH66*AJ66)</f>
        <v>50713.520000000004</v>
      </c>
      <c r="AD66" s="352" t="s">
        <v>44</v>
      </c>
      <c r="AE66" s="338">
        <f>S66</f>
        <v>4836</v>
      </c>
      <c r="AF66" s="352" t="s">
        <v>45</v>
      </c>
      <c r="AG66" s="352" t="s">
        <v>46</v>
      </c>
      <c r="AH66" s="375">
        <f>AH58</f>
        <v>1.1000000000000001</v>
      </c>
      <c r="AI66" s="352" t="s">
        <v>45</v>
      </c>
      <c r="AJ66" s="1235">
        <f>'Calcul CmO et PmO'!F337</f>
        <v>9.5333333333333332</v>
      </c>
      <c r="AK66" s="352" t="s">
        <v>49</v>
      </c>
      <c r="AL66" s="1314"/>
      <c r="AN66" s="1311"/>
      <c r="AO66" s="337">
        <f>+AQ66*(AT66*AV66)</f>
        <v>0</v>
      </c>
      <c r="AP66" s="352" t="s">
        <v>44</v>
      </c>
      <c r="AQ66" s="338">
        <f>AE66</f>
        <v>4836</v>
      </c>
      <c r="AR66" s="352" t="s">
        <v>45</v>
      </c>
      <c r="AS66" s="352" t="s">
        <v>46</v>
      </c>
      <c r="AT66" s="375">
        <f>AT58</f>
        <v>0</v>
      </c>
      <c r="AU66" s="352" t="s">
        <v>45</v>
      </c>
      <c r="AV66" s="376">
        <f>AV58</f>
        <v>0</v>
      </c>
      <c r="AW66" s="352" t="s">
        <v>49</v>
      </c>
      <c r="AX66" s="1314"/>
      <c r="AZ66" s="1311"/>
      <c r="BA66" s="337">
        <f>'État des Résultats'!Z14-'État des Résultats'!Z45</f>
        <v>91495.467925948455</v>
      </c>
      <c r="BB66" s="352" t="s">
        <v>44</v>
      </c>
      <c r="BC66" s="338">
        <f>G66</f>
        <v>4836</v>
      </c>
      <c r="BD66" s="352" t="s">
        <v>45</v>
      </c>
      <c r="BE66" s="352" t="s">
        <v>46</v>
      </c>
      <c r="BF66" s="339">
        <f>J66</f>
        <v>3.2</v>
      </c>
      <c r="BG66" s="352" t="s">
        <v>45</v>
      </c>
      <c r="BH66" s="340">
        <f>BA66/BC66/BF66</f>
        <v>5.9123932437673474</v>
      </c>
      <c r="BI66" s="352" t="s">
        <v>49</v>
      </c>
      <c r="BJ66" s="1314"/>
      <c r="BL66" s="1311"/>
      <c r="BM66" s="337">
        <f>'État des Résultats'!Z45</f>
        <v>8134.1920740515488</v>
      </c>
      <c r="BN66" s="352" t="s">
        <v>44</v>
      </c>
      <c r="BO66" s="338">
        <f>G66</f>
        <v>4836</v>
      </c>
      <c r="BP66" s="352" t="s">
        <v>45</v>
      </c>
      <c r="BQ66" s="352" t="s">
        <v>46</v>
      </c>
      <c r="BR66" s="339">
        <f>J66</f>
        <v>3.2</v>
      </c>
      <c r="BS66" s="352" t="s">
        <v>45</v>
      </c>
      <c r="BT66" s="340">
        <f>BM66/BO66/BR66</f>
        <v>0.5256275895659861</v>
      </c>
      <c r="BU66" s="352" t="s">
        <v>49</v>
      </c>
      <c r="BV66" s="1314"/>
    </row>
    <row r="67" spans="2:74" ht="17" thickBot="1" x14ac:dyDescent="0.25">
      <c r="B67" s="1362"/>
      <c r="C67" s="1367"/>
      <c r="D67" s="1312"/>
      <c r="E67" s="357"/>
      <c r="F67" s="357"/>
      <c r="G67" s="357"/>
      <c r="H67" s="357"/>
      <c r="I67" s="357"/>
      <c r="J67" s="357"/>
      <c r="K67" s="357"/>
      <c r="L67" s="357"/>
      <c r="M67" s="357"/>
      <c r="N67" s="1315"/>
      <c r="P67" s="1312"/>
      <c r="Q67" s="357"/>
      <c r="R67" s="357"/>
      <c r="S67" s="357"/>
      <c r="T67" s="357"/>
      <c r="U67" s="357"/>
      <c r="V67" s="357"/>
      <c r="W67" s="357"/>
      <c r="X67" s="357"/>
      <c r="Y67" s="357"/>
      <c r="Z67" s="1315"/>
      <c r="AB67" s="1312"/>
      <c r="AC67" s="357"/>
      <c r="AD67" s="357"/>
      <c r="AE67" s="357"/>
      <c r="AF67" s="357"/>
      <c r="AG67" s="357"/>
      <c r="AH67" s="357"/>
      <c r="AI67" s="357"/>
      <c r="AJ67" s="1241"/>
      <c r="AK67" s="357"/>
      <c r="AL67" s="1315"/>
      <c r="AN67" s="1312"/>
      <c r="AO67" s="357"/>
      <c r="AP67" s="357"/>
      <c r="AQ67" s="357"/>
      <c r="AR67" s="357"/>
      <c r="AS67" s="357"/>
      <c r="AT67" s="357"/>
      <c r="AU67" s="357"/>
      <c r="AV67" s="357"/>
      <c r="AW67" s="357"/>
      <c r="AX67" s="1315"/>
      <c r="AZ67" s="1312"/>
      <c r="BA67" s="357"/>
      <c r="BB67" s="357"/>
      <c r="BC67" s="357"/>
      <c r="BD67" s="357"/>
      <c r="BE67" s="357"/>
      <c r="BF67" s="357"/>
      <c r="BG67" s="357"/>
      <c r="BH67" s="357"/>
      <c r="BI67" s="357"/>
      <c r="BJ67" s="1315"/>
      <c r="BL67" s="1312"/>
      <c r="BM67" s="357"/>
      <c r="BN67" s="357"/>
      <c r="BO67" s="357"/>
      <c r="BP67" s="357"/>
      <c r="BQ67" s="357"/>
      <c r="BR67" s="357"/>
      <c r="BS67" s="357"/>
      <c r="BT67" s="357"/>
      <c r="BU67" s="357"/>
      <c r="BV67" s="1315"/>
    </row>
    <row r="68" spans="2:74" ht="5" customHeight="1" thickTop="1" thickBot="1" x14ac:dyDescent="0.2">
      <c r="B68" s="1362"/>
      <c r="C68" s="209"/>
      <c r="AJ68" s="1237"/>
    </row>
    <row r="69" spans="2:74" ht="17" thickTop="1" x14ac:dyDescent="0.2">
      <c r="B69" s="1362"/>
      <c r="C69" s="1367" t="s">
        <v>629</v>
      </c>
      <c r="D69" s="1310" t="s">
        <v>42</v>
      </c>
      <c r="E69" s="350"/>
      <c r="F69" s="350"/>
      <c r="G69" s="350"/>
      <c r="H69" s="350"/>
      <c r="I69" s="350"/>
      <c r="J69" s="350"/>
      <c r="K69" s="350"/>
      <c r="L69" s="350"/>
      <c r="M69" s="350"/>
      <c r="N69" s="1313" t="s">
        <v>43</v>
      </c>
      <c r="P69" s="1310" t="s">
        <v>42</v>
      </c>
      <c r="Q69" s="350"/>
      <c r="R69" s="350"/>
      <c r="S69" s="350"/>
      <c r="T69" s="350"/>
      <c r="U69" s="350"/>
      <c r="V69" s="350"/>
      <c r="W69" s="350"/>
      <c r="X69" s="350"/>
      <c r="Y69" s="350"/>
      <c r="Z69" s="1313" t="s">
        <v>43</v>
      </c>
      <c r="AB69" s="1310" t="s">
        <v>42</v>
      </c>
      <c r="AC69" s="350"/>
      <c r="AD69" s="350"/>
      <c r="AE69" s="350"/>
      <c r="AF69" s="350"/>
      <c r="AG69" s="350"/>
      <c r="AH69" s="350"/>
      <c r="AI69" s="350"/>
      <c r="AJ69" s="1242"/>
      <c r="AK69" s="350"/>
      <c r="AL69" s="1313" t="s">
        <v>43</v>
      </c>
      <c r="AN69" s="1310" t="s">
        <v>42</v>
      </c>
      <c r="AO69" s="350"/>
      <c r="AP69" s="350"/>
      <c r="AQ69" s="350"/>
      <c r="AR69" s="350"/>
      <c r="AS69" s="350"/>
      <c r="AT69" s="350"/>
      <c r="AU69" s="350"/>
      <c r="AV69" s="350"/>
      <c r="AW69" s="350"/>
      <c r="AX69" s="1313" t="s">
        <v>43</v>
      </c>
      <c r="AZ69" s="1310" t="s">
        <v>42</v>
      </c>
      <c r="BA69" s="350"/>
      <c r="BB69" s="350"/>
      <c r="BC69" s="350"/>
      <c r="BD69" s="350"/>
      <c r="BE69" s="350"/>
      <c r="BF69" s="350"/>
      <c r="BG69" s="350"/>
      <c r="BH69" s="350"/>
      <c r="BI69" s="350"/>
      <c r="BJ69" s="1313" t="s">
        <v>43</v>
      </c>
      <c r="BL69" s="1310" t="s">
        <v>42</v>
      </c>
      <c r="BM69" s="350"/>
      <c r="BN69" s="350"/>
      <c r="BO69" s="350"/>
      <c r="BP69" s="350"/>
      <c r="BQ69" s="350"/>
      <c r="BR69" s="350"/>
      <c r="BS69" s="350"/>
      <c r="BT69" s="350"/>
      <c r="BU69" s="350"/>
      <c r="BV69" s="1313" t="s">
        <v>43</v>
      </c>
    </row>
    <row r="70" spans="2:74" ht="16" x14ac:dyDescent="0.2">
      <c r="B70" s="1362"/>
      <c r="C70" s="1367"/>
      <c r="D70" s="1311"/>
      <c r="E70" s="351"/>
      <c r="F70" s="351"/>
      <c r="G70" s="351"/>
      <c r="H70" s="351"/>
      <c r="I70" s="351"/>
      <c r="J70" s="351"/>
      <c r="K70" s="351"/>
      <c r="L70" s="351"/>
      <c r="M70" s="351"/>
      <c r="N70" s="1314"/>
      <c r="P70" s="1311"/>
      <c r="Q70" s="351"/>
      <c r="R70" s="351"/>
      <c r="S70" s="351"/>
      <c r="T70" s="351"/>
      <c r="U70" s="351"/>
      <c r="V70" s="351"/>
      <c r="W70" s="351"/>
      <c r="X70" s="351"/>
      <c r="Y70" s="351"/>
      <c r="Z70" s="1314"/>
      <c r="AB70" s="1311"/>
      <c r="AC70" s="351"/>
      <c r="AD70" s="351"/>
      <c r="AE70" s="351"/>
      <c r="AF70" s="351"/>
      <c r="AG70" s="351"/>
      <c r="AH70" s="351"/>
      <c r="AI70" s="351"/>
      <c r="AJ70" s="1243"/>
      <c r="AK70" s="351"/>
      <c r="AL70" s="1314"/>
      <c r="AN70" s="1311"/>
      <c r="AO70" s="351"/>
      <c r="AP70" s="351"/>
      <c r="AQ70" s="351"/>
      <c r="AR70" s="351"/>
      <c r="AS70" s="351"/>
      <c r="AT70" s="351"/>
      <c r="AU70" s="351"/>
      <c r="AV70" s="351"/>
      <c r="AW70" s="351"/>
      <c r="AX70" s="1314"/>
      <c r="AZ70" s="1311"/>
      <c r="BA70" s="351"/>
      <c r="BB70" s="351"/>
      <c r="BC70" s="351"/>
      <c r="BD70" s="351"/>
      <c r="BE70" s="351"/>
      <c r="BF70" s="351"/>
      <c r="BG70" s="351"/>
      <c r="BH70" s="351"/>
      <c r="BI70" s="351"/>
      <c r="BJ70" s="1314"/>
      <c r="BL70" s="1311"/>
      <c r="BM70" s="351"/>
      <c r="BN70" s="351"/>
      <c r="BO70" s="351"/>
      <c r="BP70" s="351"/>
      <c r="BQ70" s="351"/>
      <c r="BR70" s="351"/>
      <c r="BS70" s="351"/>
      <c r="BT70" s="351"/>
      <c r="BU70" s="351"/>
      <c r="BV70" s="1314"/>
    </row>
    <row r="71" spans="2:74" ht="21" x14ac:dyDescent="0.25">
      <c r="B71" s="1362"/>
      <c r="C71" s="1367"/>
      <c r="D71" s="1311"/>
      <c r="E71" s="352" t="str">
        <f>E63</f>
        <v>Demande mensuelle</v>
      </c>
      <c r="F71" s="352" t="s">
        <v>44</v>
      </c>
      <c r="G71" s="352" t="str">
        <f>G63</f>
        <v>Achalandage mensuel</v>
      </c>
      <c r="H71" s="352" t="s">
        <v>45</v>
      </c>
      <c r="I71" s="352" t="s">
        <v>46</v>
      </c>
      <c r="J71" s="352" t="str">
        <f>J63</f>
        <v>Um/A</v>
      </c>
      <c r="K71" s="352" t="s">
        <v>45</v>
      </c>
      <c r="L71" s="352" t="str">
        <f>L63</f>
        <v>PmO</v>
      </c>
      <c r="M71" s="352" t="s">
        <v>49</v>
      </c>
      <c r="N71" s="1314"/>
      <c r="P71" s="1311"/>
      <c r="Q71" s="352" t="str">
        <f>Q63</f>
        <v>Demande mensuelle</v>
      </c>
      <c r="R71" s="352" t="s">
        <v>44</v>
      </c>
      <c r="S71" s="352" t="str">
        <f>S63</f>
        <v>Achalandage mensuel</v>
      </c>
      <c r="T71" s="352" t="s">
        <v>45</v>
      </c>
      <c r="U71" s="352" t="s">
        <v>46</v>
      </c>
      <c r="V71" s="352" t="str">
        <f>V63</f>
        <v>Um/A</v>
      </c>
      <c r="W71" s="352" t="s">
        <v>45</v>
      </c>
      <c r="X71" s="352" t="str">
        <f>X63</f>
        <v>PmO</v>
      </c>
      <c r="Y71" s="352" t="s">
        <v>49</v>
      </c>
      <c r="Z71" s="1314"/>
      <c r="AB71" s="1311"/>
      <c r="AC71" s="352" t="str">
        <f>AC63</f>
        <v>Demande mensuelle</v>
      </c>
      <c r="AD71" s="352" t="s">
        <v>44</v>
      </c>
      <c r="AE71" s="352" t="str">
        <f>AE63</f>
        <v>Achalandage mensuel</v>
      </c>
      <c r="AF71" s="352" t="s">
        <v>45</v>
      </c>
      <c r="AG71" s="352" t="s">
        <v>46</v>
      </c>
      <c r="AH71" s="352" t="str">
        <f>AH63</f>
        <v>Um/A</v>
      </c>
      <c r="AI71" s="352" t="s">
        <v>45</v>
      </c>
      <c r="AJ71" s="352" t="str">
        <f>AJ63</f>
        <v>PmO</v>
      </c>
      <c r="AK71" s="352" t="s">
        <v>49</v>
      </c>
      <c r="AL71" s="1314"/>
      <c r="AN71" s="1311"/>
      <c r="AO71" s="352" t="str">
        <f>AO63</f>
        <v>Demande mensuelle</v>
      </c>
      <c r="AP71" s="352" t="s">
        <v>44</v>
      </c>
      <c r="AQ71" s="352" t="str">
        <f>AQ63</f>
        <v>Achalandage mensuel</v>
      </c>
      <c r="AR71" s="352" t="s">
        <v>45</v>
      </c>
      <c r="AS71" s="352" t="s">
        <v>46</v>
      </c>
      <c r="AT71" s="352" t="str">
        <f>AT63</f>
        <v>Um/A</v>
      </c>
      <c r="AU71" s="352" t="s">
        <v>45</v>
      </c>
      <c r="AV71" s="352" t="str">
        <f>AV63</f>
        <v>PmO</v>
      </c>
      <c r="AW71" s="352" t="s">
        <v>49</v>
      </c>
      <c r="AX71" s="1314"/>
      <c r="AZ71" s="1311"/>
      <c r="BA71" s="352" t="str">
        <f>BA63</f>
        <v>Coût mensuel</v>
      </c>
      <c r="BB71" s="352" t="s">
        <v>44</v>
      </c>
      <c r="BC71" s="352" t="str">
        <f>BC63</f>
        <v>Achalandage mensuel</v>
      </c>
      <c r="BD71" s="352" t="s">
        <v>45</v>
      </c>
      <c r="BE71" s="352" t="s">
        <v>46</v>
      </c>
      <c r="BF71" s="352" t="str">
        <f>BF63</f>
        <v>Um/A</v>
      </c>
      <c r="BG71" s="352" t="s">
        <v>45</v>
      </c>
      <c r="BH71" s="352" t="str">
        <f>BH63</f>
        <v>CmO</v>
      </c>
      <c r="BI71" s="352" t="s">
        <v>49</v>
      </c>
      <c r="BJ71" s="1314"/>
      <c r="BL71" s="1311"/>
      <c r="BM71" s="352" t="str">
        <f>BM63</f>
        <v>Bénéfice mensuel</v>
      </c>
      <c r="BN71" s="352" t="s">
        <v>44</v>
      </c>
      <c r="BO71" s="352" t="str">
        <f>BO63</f>
        <v>Achalandage mensuel</v>
      </c>
      <c r="BP71" s="352" t="s">
        <v>45</v>
      </c>
      <c r="BQ71" s="352" t="s">
        <v>46</v>
      </c>
      <c r="BR71" s="352" t="str">
        <f>BR63</f>
        <v>Um/A</v>
      </c>
      <c r="BS71" s="352" t="s">
        <v>45</v>
      </c>
      <c r="BT71" s="352" t="str">
        <f>BT63</f>
        <v>BmO</v>
      </c>
      <c r="BU71" s="352" t="s">
        <v>49</v>
      </c>
      <c r="BV71" s="1314"/>
    </row>
    <row r="72" spans="2:74" ht="19" x14ac:dyDescent="0.25">
      <c r="B72" s="1362"/>
      <c r="C72" s="1367"/>
      <c r="D72" s="1311"/>
      <c r="E72" s="353" t="s">
        <v>2</v>
      </c>
      <c r="F72" s="354"/>
      <c r="G72" s="353"/>
      <c r="H72" s="354"/>
      <c r="I72" s="354"/>
      <c r="J72" s="354"/>
      <c r="K72" s="354"/>
      <c r="L72" s="354"/>
      <c r="M72" s="354"/>
      <c r="N72" s="1314"/>
      <c r="P72" s="1311"/>
      <c r="Q72" s="353" t="s">
        <v>2</v>
      </c>
      <c r="R72" s="354"/>
      <c r="S72" s="353"/>
      <c r="T72" s="354"/>
      <c r="U72" s="354"/>
      <c r="V72" s="354"/>
      <c r="W72" s="354"/>
      <c r="X72" s="354"/>
      <c r="Y72" s="354"/>
      <c r="Z72" s="1314"/>
      <c r="AB72" s="1311"/>
      <c r="AC72" s="353" t="s">
        <v>2</v>
      </c>
      <c r="AD72" s="354"/>
      <c r="AE72" s="353"/>
      <c r="AF72" s="354"/>
      <c r="AG72" s="354"/>
      <c r="AH72" s="354"/>
      <c r="AI72" s="354"/>
      <c r="AJ72" s="1244"/>
      <c r="AK72" s="354"/>
      <c r="AL72" s="1314"/>
      <c r="AN72" s="1311"/>
      <c r="AO72" s="353" t="s">
        <v>2</v>
      </c>
      <c r="AP72" s="354"/>
      <c r="AQ72" s="353"/>
      <c r="AR72" s="354"/>
      <c r="AS72" s="354"/>
      <c r="AT72" s="354"/>
      <c r="AU72" s="354"/>
      <c r="AV72" s="354"/>
      <c r="AW72" s="354"/>
      <c r="AX72" s="1314"/>
      <c r="AZ72" s="1311"/>
      <c r="BA72" s="353" t="s">
        <v>2</v>
      </c>
      <c r="BB72" s="354"/>
      <c r="BC72" s="353"/>
      <c r="BD72" s="354"/>
      <c r="BE72" s="354"/>
      <c r="BF72" s="354"/>
      <c r="BG72" s="354"/>
      <c r="BH72" s="354"/>
      <c r="BI72" s="354"/>
      <c r="BJ72" s="1314"/>
      <c r="BL72" s="1311"/>
      <c r="BM72" s="353" t="s">
        <v>2</v>
      </c>
      <c r="BN72" s="354"/>
      <c r="BO72" s="353"/>
      <c r="BP72" s="354"/>
      <c r="BQ72" s="354"/>
      <c r="BR72" s="354"/>
      <c r="BS72" s="354"/>
      <c r="BT72" s="354"/>
      <c r="BU72" s="354"/>
      <c r="BV72" s="1314"/>
    </row>
    <row r="73" spans="2:74" ht="26" x14ac:dyDescent="0.3">
      <c r="B73" s="1362"/>
      <c r="C73" s="1367"/>
      <c r="D73" s="1311"/>
      <c r="E73" s="355" t="str">
        <f>E65</f>
        <v>D</v>
      </c>
      <c r="F73" s="356"/>
      <c r="G73" s="355" t="str">
        <f>G65</f>
        <v>A</v>
      </c>
      <c r="H73" s="356"/>
      <c r="I73" s="356"/>
      <c r="J73" s="355" t="str">
        <f>+J71</f>
        <v>Um/A</v>
      </c>
      <c r="K73" s="356"/>
      <c r="L73" s="355" t="str">
        <f>+L71</f>
        <v>PmO</v>
      </c>
      <c r="M73" s="356"/>
      <c r="N73" s="1314"/>
      <c r="P73" s="1311"/>
      <c r="Q73" s="355" t="str">
        <f>Q65</f>
        <v>D</v>
      </c>
      <c r="R73" s="356"/>
      <c r="S73" s="355" t="str">
        <f>S65</f>
        <v>A</v>
      </c>
      <c r="T73" s="356"/>
      <c r="U73" s="356"/>
      <c r="V73" s="355" t="str">
        <f>+V71</f>
        <v>Um/A</v>
      </c>
      <c r="W73" s="356"/>
      <c r="X73" s="355" t="str">
        <f>+X71</f>
        <v>PmO</v>
      </c>
      <c r="Y73" s="356"/>
      <c r="Z73" s="1314"/>
      <c r="AB73" s="1311"/>
      <c r="AC73" s="355" t="str">
        <f>AC65</f>
        <v>D</v>
      </c>
      <c r="AD73" s="356"/>
      <c r="AE73" s="355" t="str">
        <f>AE65</f>
        <v>A</v>
      </c>
      <c r="AF73" s="356"/>
      <c r="AG73" s="356"/>
      <c r="AH73" s="355" t="str">
        <f>+AH71</f>
        <v>Um/A</v>
      </c>
      <c r="AI73" s="356"/>
      <c r="AJ73" s="355" t="str">
        <f>+AJ71</f>
        <v>PmO</v>
      </c>
      <c r="AK73" s="356"/>
      <c r="AL73" s="1314"/>
      <c r="AN73" s="1311"/>
      <c r="AO73" s="355" t="str">
        <f>AO65</f>
        <v>D</v>
      </c>
      <c r="AP73" s="356"/>
      <c r="AQ73" s="355" t="str">
        <f>AQ65</f>
        <v>A</v>
      </c>
      <c r="AR73" s="356"/>
      <c r="AS73" s="356"/>
      <c r="AT73" s="355" t="str">
        <f>+AT71</f>
        <v>Um/A</v>
      </c>
      <c r="AU73" s="356"/>
      <c r="AV73" s="355" t="str">
        <f>+AV71</f>
        <v>PmO</v>
      </c>
      <c r="AW73" s="356"/>
      <c r="AX73" s="1314"/>
      <c r="AZ73" s="1311"/>
      <c r="BA73" s="355" t="str">
        <f>BA65</f>
        <v xml:space="preserve">C </v>
      </c>
      <c r="BB73" s="356"/>
      <c r="BC73" s="355" t="str">
        <f>BC65</f>
        <v>A</v>
      </c>
      <c r="BD73" s="356"/>
      <c r="BE73" s="356"/>
      <c r="BF73" s="355" t="str">
        <f>+BF71</f>
        <v>Um/A</v>
      </c>
      <c r="BG73" s="356"/>
      <c r="BH73" s="355" t="str">
        <f>+BH71</f>
        <v>CmO</v>
      </c>
      <c r="BI73" s="356"/>
      <c r="BJ73" s="1314"/>
      <c r="BL73" s="1311"/>
      <c r="BM73" s="355" t="str">
        <f>BM65</f>
        <v xml:space="preserve">B </v>
      </c>
      <c r="BN73" s="356"/>
      <c r="BO73" s="355" t="str">
        <f>BO65</f>
        <v>A</v>
      </c>
      <c r="BP73" s="356"/>
      <c r="BQ73" s="356"/>
      <c r="BR73" s="355" t="str">
        <f>+BR71</f>
        <v>Um/A</v>
      </c>
      <c r="BS73" s="356"/>
      <c r="BT73" s="355" t="str">
        <f>+BT71</f>
        <v>BmO</v>
      </c>
      <c r="BU73" s="356"/>
      <c r="BV73" s="1314"/>
    </row>
    <row r="74" spans="2:74" ht="21" x14ac:dyDescent="0.25">
      <c r="B74" s="1362"/>
      <c r="C74" s="1367"/>
      <c r="D74" s="1311"/>
      <c r="E74" s="337">
        <f>+Q74+AC74+AO74</f>
        <v>91100.57</v>
      </c>
      <c r="F74" s="352" t="s">
        <v>44</v>
      </c>
      <c r="G74" s="338">
        <f>'% Occupation'!L19</f>
        <v>4422</v>
      </c>
      <c r="H74" s="352" t="s">
        <v>45</v>
      </c>
      <c r="I74" s="352" t="s">
        <v>46</v>
      </c>
      <c r="J74" s="339">
        <f>+V74+AH74+AT74</f>
        <v>3.2</v>
      </c>
      <c r="K74" s="352" t="s">
        <v>45</v>
      </c>
      <c r="L74" s="340">
        <f>E74/G74/J74</f>
        <v>6.4380208333333329</v>
      </c>
      <c r="M74" s="352" t="s">
        <v>49</v>
      </c>
      <c r="N74" s="1314"/>
      <c r="P74" s="1311"/>
      <c r="Q74" s="337">
        <f>+S74*(V74*X74)</f>
        <v>44728.530000000006</v>
      </c>
      <c r="R74" s="352" t="s">
        <v>44</v>
      </c>
      <c r="S74" s="338">
        <f>G74</f>
        <v>4422</v>
      </c>
      <c r="T74" s="352" t="s">
        <v>45</v>
      </c>
      <c r="U74" s="352" t="s">
        <v>46</v>
      </c>
      <c r="V74" s="375">
        <f>V66</f>
        <v>2.1</v>
      </c>
      <c r="W74" s="352" t="s">
        <v>45</v>
      </c>
      <c r="X74" s="1083">
        <f>'Calcul CmO et PmO'!F365</f>
        <v>4.8166666666666673</v>
      </c>
      <c r="Y74" s="352" t="s">
        <v>49</v>
      </c>
      <c r="Z74" s="1314"/>
      <c r="AB74" s="1311"/>
      <c r="AC74" s="337">
        <f>+AE74*(AH74*AJ74)</f>
        <v>46372.040000000008</v>
      </c>
      <c r="AD74" s="352" t="s">
        <v>44</v>
      </c>
      <c r="AE74" s="338">
        <f>S74</f>
        <v>4422</v>
      </c>
      <c r="AF74" s="352" t="s">
        <v>45</v>
      </c>
      <c r="AG74" s="352" t="s">
        <v>46</v>
      </c>
      <c r="AH74" s="375">
        <f>AH66</f>
        <v>1.1000000000000001</v>
      </c>
      <c r="AI74" s="352" t="s">
        <v>45</v>
      </c>
      <c r="AJ74" s="1235">
        <f>'Calcul CmO et PmO'!F380</f>
        <v>9.5333333333333332</v>
      </c>
      <c r="AK74" s="352" t="s">
        <v>49</v>
      </c>
      <c r="AL74" s="1314"/>
      <c r="AN74" s="1311"/>
      <c r="AO74" s="337">
        <f>+AQ74*(AT74*AV74)</f>
        <v>0</v>
      </c>
      <c r="AP74" s="352" t="s">
        <v>44</v>
      </c>
      <c r="AQ74" s="338">
        <f>AE74</f>
        <v>4422</v>
      </c>
      <c r="AR74" s="352" t="s">
        <v>45</v>
      </c>
      <c r="AS74" s="352" t="s">
        <v>46</v>
      </c>
      <c r="AT74" s="375">
        <f>AT66</f>
        <v>0</v>
      </c>
      <c r="AU74" s="352" t="s">
        <v>45</v>
      </c>
      <c r="AV74" s="376">
        <f>AV66</f>
        <v>0</v>
      </c>
      <c r="AW74" s="352" t="s">
        <v>49</v>
      </c>
      <c r="AX74" s="1314"/>
      <c r="AZ74" s="1311"/>
      <c r="BA74" s="337">
        <f>'État des Résultats'!AC14-'État des Résultats'!AC45</f>
        <v>84620.868835513655</v>
      </c>
      <c r="BB74" s="352" t="s">
        <v>44</v>
      </c>
      <c r="BC74" s="338">
        <f>G74</f>
        <v>4422</v>
      </c>
      <c r="BD74" s="352" t="s">
        <v>45</v>
      </c>
      <c r="BE74" s="352" t="s">
        <v>46</v>
      </c>
      <c r="BF74" s="339">
        <f>J74</f>
        <v>3.2</v>
      </c>
      <c r="BG74" s="352" t="s">
        <v>45</v>
      </c>
      <c r="BH74" s="340">
        <f>BA74/BC74/BF74</f>
        <v>5.9801043670506591</v>
      </c>
      <c r="BI74" s="352" t="s">
        <v>49</v>
      </c>
      <c r="BJ74" s="1314"/>
      <c r="BL74" s="1311"/>
      <c r="BM74" s="337">
        <f>'État des Résultats'!AC45</f>
        <v>6479.7011644863469</v>
      </c>
      <c r="BN74" s="352" t="s">
        <v>44</v>
      </c>
      <c r="BO74" s="338">
        <f>G74</f>
        <v>4422</v>
      </c>
      <c r="BP74" s="352" t="s">
        <v>45</v>
      </c>
      <c r="BQ74" s="352" t="s">
        <v>46</v>
      </c>
      <c r="BR74" s="339">
        <f>J74</f>
        <v>3.2</v>
      </c>
      <c r="BS74" s="352" t="s">
        <v>45</v>
      </c>
      <c r="BT74" s="340">
        <f>BM74/BO74/BR74</f>
        <v>0.45791646628267374</v>
      </c>
      <c r="BU74" s="352" t="s">
        <v>49</v>
      </c>
      <c r="BV74" s="1314"/>
    </row>
    <row r="75" spans="2:74" ht="17" thickBot="1" x14ac:dyDescent="0.25">
      <c r="B75" s="1362"/>
      <c r="C75" s="1367"/>
      <c r="D75" s="1312"/>
      <c r="E75" s="357"/>
      <c r="F75" s="357"/>
      <c r="G75" s="357"/>
      <c r="H75" s="357"/>
      <c r="I75" s="357"/>
      <c r="J75" s="357"/>
      <c r="K75" s="357"/>
      <c r="L75" s="357"/>
      <c r="M75" s="357"/>
      <c r="N75" s="1315"/>
      <c r="P75" s="1312"/>
      <c r="Q75" s="357"/>
      <c r="R75" s="357"/>
      <c r="S75" s="357"/>
      <c r="T75" s="357"/>
      <c r="U75" s="357"/>
      <c r="V75" s="357"/>
      <c r="W75" s="357"/>
      <c r="X75" s="357"/>
      <c r="Y75" s="357"/>
      <c r="Z75" s="1315"/>
      <c r="AB75" s="1312"/>
      <c r="AC75" s="357"/>
      <c r="AD75" s="357"/>
      <c r="AE75" s="357"/>
      <c r="AF75" s="357"/>
      <c r="AG75" s="357"/>
      <c r="AH75" s="357"/>
      <c r="AI75" s="357"/>
      <c r="AJ75" s="357"/>
      <c r="AK75" s="357"/>
      <c r="AL75" s="1315"/>
      <c r="AN75" s="1312"/>
      <c r="AO75" s="357"/>
      <c r="AP75" s="357"/>
      <c r="AQ75" s="357"/>
      <c r="AR75" s="357"/>
      <c r="AS75" s="357"/>
      <c r="AT75" s="357"/>
      <c r="AU75" s="357"/>
      <c r="AV75" s="357"/>
      <c r="AW75" s="357"/>
      <c r="AX75" s="1315"/>
      <c r="AZ75" s="1312"/>
      <c r="BA75" s="357"/>
      <c r="BB75" s="357"/>
      <c r="BC75" s="357"/>
      <c r="BD75" s="357"/>
      <c r="BE75" s="357"/>
      <c r="BF75" s="357"/>
      <c r="BG75" s="357"/>
      <c r="BH75" s="357"/>
      <c r="BI75" s="357"/>
      <c r="BJ75" s="1315"/>
      <c r="BL75" s="1312"/>
      <c r="BM75" s="357"/>
      <c r="BN75" s="357"/>
      <c r="BO75" s="357"/>
      <c r="BP75" s="357"/>
      <c r="BQ75" s="357"/>
      <c r="BR75" s="357"/>
      <c r="BS75" s="357"/>
      <c r="BT75" s="357"/>
      <c r="BU75" s="357"/>
      <c r="BV75" s="1315"/>
    </row>
    <row r="76" spans="2:74" ht="10" customHeight="1" thickTop="1" thickBot="1" x14ac:dyDescent="0.2">
      <c r="C76" s="209"/>
    </row>
    <row r="77" spans="2:74" ht="17" thickTop="1" x14ac:dyDescent="0.2">
      <c r="B77" s="1363">
        <v>4</v>
      </c>
      <c r="C77" s="1366" t="s">
        <v>624</v>
      </c>
      <c r="D77" s="1304" t="s">
        <v>42</v>
      </c>
      <c r="E77" s="358"/>
      <c r="F77" s="358"/>
      <c r="G77" s="358"/>
      <c r="H77" s="358"/>
      <c r="I77" s="358"/>
      <c r="J77" s="358"/>
      <c r="K77" s="358"/>
      <c r="L77" s="358"/>
      <c r="M77" s="358"/>
      <c r="N77" s="1307" t="s">
        <v>43</v>
      </c>
      <c r="P77" s="1304" t="s">
        <v>42</v>
      </c>
      <c r="Q77" s="358"/>
      <c r="R77" s="358"/>
      <c r="S77" s="358"/>
      <c r="T77" s="358"/>
      <c r="U77" s="358"/>
      <c r="V77" s="358"/>
      <c r="W77" s="358"/>
      <c r="X77" s="358"/>
      <c r="Y77" s="358"/>
      <c r="Z77" s="1307" t="s">
        <v>43</v>
      </c>
      <c r="AB77" s="1304" t="s">
        <v>42</v>
      </c>
      <c r="AC77" s="358"/>
      <c r="AD77" s="358"/>
      <c r="AE77" s="358"/>
      <c r="AF77" s="358"/>
      <c r="AG77" s="358"/>
      <c r="AH77" s="358"/>
      <c r="AI77" s="358"/>
      <c r="AJ77" s="358"/>
      <c r="AK77" s="358"/>
      <c r="AL77" s="1307" t="s">
        <v>43</v>
      </c>
      <c r="AN77" s="1304" t="s">
        <v>42</v>
      </c>
      <c r="AO77" s="358"/>
      <c r="AP77" s="358"/>
      <c r="AQ77" s="358"/>
      <c r="AR77" s="358"/>
      <c r="AS77" s="358"/>
      <c r="AT77" s="358"/>
      <c r="AU77" s="358"/>
      <c r="AV77" s="358"/>
      <c r="AW77" s="358"/>
      <c r="AX77" s="1307" t="s">
        <v>43</v>
      </c>
      <c r="AZ77" s="1304" t="s">
        <v>42</v>
      </c>
      <c r="BA77" s="358"/>
      <c r="BB77" s="358"/>
      <c r="BC77" s="358"/>
      <c r="BD77" s="358"/>
      <c r="BE77" s="358"/>
      <c r="BF77" s="358"/>
      <c r="BG77" s="358"/>
      <c r="BH77" s="358"/>
      <c r="BI77" s="358"/>
      <c r="BJ77" s="1307" t="s">
        <v>43</v>
      </c>
      <c r="BL77" s="1304" t="s">
        <v>42</v>
      </c>
      <c r="BM77" s="358"/>
      <c r="BN77" s="358"/>
      <c r="BO77" s="358"/>
      <c r="BP77" s="358"/>
      <c r="BQ77" s="358"/>
      <c r="BR77" s="358"/>
      <c r="BS77" s="358"/>
      <c r="BT77" s="358"/>
      <c r="BU77" s="358"/>
      <c r="BV77" s="1307" t="s">
        <v>43</v>
      </c>
    </row>
    <row r="78" spans="2:74" ht="16" x14ac:dyDescent="0.2">
      <c r="B78" s="1364"/>
      <c r="C78" s="1366"/>
      <c r="D78" s="1305"/>
      <c r="E78" s="359"/>
      <c r="F78" s="359"/>
      <c r="G78" s="359"/>
      <c r="H78" s="359"/>
      <c r="I78" s="359"/>
      <c r="J78" s="359"/>
      <c r="K78" s="359"/>
      <c r="L78" s="359"/>
      <c r="M78" s="359"/>
      <c r="N78" s="1308"/>
      <c r="P78" s="1305"/>
      <c r="Q78" s="359"/>
      <c r="R78" s="359"/>
      <c r="S78" s="359"/>
      <c r="T78" s="359"/>
      <c r="U78" s="359"/>
      <c r="V78" s="359"/>
      <c r="W78" s="359"/>
      <c r="X78" s="359"/>
      <c r="Y78" s="359"/>
      <c r="Z78" s="1308"/>
      <c r="AB78" s="1305"/>
      <c r="AC78" s="359"/>
      <c r="AD78" s="359"/>
      <c r="AE78" s="359"/>
      <c r="AF78" s="359"/>
      <c r="AG78" s="359"/>
      <c r="AH78" s="359"/>
      <c r="AI78" s="359"/>
      <c r="AJ78" s="359"/>
      <c r="AK78" s="359"/>
      <c r="AL78" s="1308"/>
      <c r="AN78" s="1305"/>
      <c r="AO78" s="359"/>
      <c r="AP78" s="359"/>
      <c r="AQ78" s="359"/>
      <c r="AR78" s="359"/>
      <c r="AS78" s="359"/>
      <c r="AT78" s="359"/>
      <c r="AU78" s="359"/>
      <c r="AV78" s="359"/>
      <c r="AW78" s="359"/>
      <c r="AX78" s="1308"/>
      <c r="AZ78" s="1305"/>
      <c r="BA78" s="359"/>
      <c r="BB78" s="359"/>
      <c r="BC78" s="359"/>
      <c r="BD78" s="359"/>
      <c r="BE78" s="359"/>
      <c r="BF78" s="359"/>
      <c r="BG78" s="359"/>
      <c r="BH78" s="359"/>
      <c r="BI78" s="359"/>
      <c r="BJ78" s="1308"/>
      <c r="BL78" s="1305"/>
      <c r="BM78" s="359"/>
      <c r="BN78" s="359"/>
      <c r="BO78" s="359"/>
      <c r="BP78" s="359"/>
      <c r="BQ78" s="359"/>
      <c r="BR78" s="359"/>
      <c r="BS78" s="359"/>
      <c r="BT78" s="359"/>
      <c r="BU78" s="359"/>
      <c r="BV78" s="1308"/>
    </row>
    <row r="79" spans="2:74" ht="21" x14ac:dyDescent="0.25">
      <c r="B79" s="1364"/>
      <c r="C79" s="1366"/>
      <c r="D79" s="1305"/>
      <c r="E79" s="360" t="str">
        <f>E71</f>
        <v>Demande mensuelle</v>
      </c>
      <c r="F79" s="360" t="s">
        <v>44</v>
      </c>
      <c r="G79" s="360" t="str">
        <f>G71</f>
        <v>Achalandage mensuel</v>
      </c>
      <c r="H79" s="360" t="s">
        <v>45</v>
      </c>
      <c r="I79" s="360" t="s">
        <v>46</v>
      </c>
      <c r="J79" s="360" t="str">
        <f>J71</f>
        <v>Um/A</v>
      </c>
      <c r="K79" s="360" t="s">
        <v>45</v>
      </c>
      <c r="L79" s="360" t="str">
        <f>L71</f>
        <v>PmO</v>
      </c>
      <c r="M79" s="360" t="s">
        <v>49</v>
      </c>
      <c r="N79" s="1308"/>
      <c r="P79" s="1305"/>
      <c r="Q79" s="360" t="str">
        <f>Q71</f>
        <v>Demande mensuelle</v>
      </c>
      <c r="R79" s="360" t="s">
        <v>44</v>
      </c>
      <c r="S79" s="360" t="str">
        <f>S71</f>
        <v>Achalandage mensuel</v>
      </c>
      <c r="T79" s="360" t="s">
        <v>45</v>
      </c>
      <c r="U79" s="360" t="s">
        <v>46</v>
      </c>
      <c r="V79" s="360" t="str">
        <f>V71</f>
        <v>Um/A</v>
      </c>
      <c r="W79" s="360" t="s">
        <v>45</v>
      </c>
      <c r="X79" s="360" t="str">
        <f>X71</f>
        <v>PmO</v>
      </c>
      <c r="Y79" s="360" t="s">
        <v>49</v>
      </c>
      <c r="Z79" s="1308"/>
      <c r="AB79" s="1305"/>
      <c r="AC79" s="360" t="str">
        <f>AC71</f>
        <v>Demande mensuelle</v>
      </c>
      <c r="AD79" s="360" t="s">
        <v>44</v>
      </c>
      <c r="AE79" s="360" t="str">
        <f>AE71</f>
        <v>Achalandage mensuel</v>
      </c>
      <c r="AF79" s="360" t="s">
        <v>45</v>
      </c>
      <c r="AG79" s="360" t="s">
        <v>46</v>
      </c>
      <c r="AH79" s="360" t="str">
        <f>AH71</f>
        <v>Um/A</v>
      </c>
      <c r="AI79" s="360" t="s">
        <v>45</v>
      </c>
      <c r="AJ79" s="360" t="str">
        <f>AJ71</f>
        <v>PmO</v>
      </c>
      <c r="AK79" s="360" t="s">
        <v>49</v>
      </c>
      <c r="AL79" s="1308"/>
      <c r="AN79" s="1305"/>
      <c r="AO79" s="360" t="str">
        <f>AO71</f>
        <v>Demande mensuelle</v>
      </c>
      <c r="AP79" s="360" t="s">
        <v>44</v>
      </c>
      <c r="AQ79" s="360" t="str">
        <f>AQ71</f>
        <v>Achalandage mensuel</v>
      </c>
      <c r="AR79" s="360" t="s">
        <v>45</v>
      </c>
      <c r="AS79" s="360" t="s">
        <v>46</v>
      </c>
      <c r="AT79" s="360" t="str">
        <f>AT71</f>
        <v>Um/A</v>
      </c>
      <c r="AU79" s="360" t="s">
        <v>45</v>
      </c>
      <c r="AV79" s="360" t="str">
        <f>AV71</f>
        <v>PmO</v>
      </c>
      <c r="AW79" s="360" t="s">
        <v>49</v>
      </c>
      <c r="AX79" s="1308"/>
      <c r="AZ79" s="1305"/>
      <c r="BA79" s="360" t="str">
        <f>BA71</f>
        <v>Coût mensuel</v>
      </c>
      <c r="BB79" s="360" t="s">
        <v>44</v>
      </c>
      <c r="BC79" s="360" t="str">
        <f>BC71</f>
        <v>Achalandage mensuel</v>
      </c>
      <c r="BD79" s="360" t="s">
        <v>45</v>
      </c>
      <c r="BE79" s="360" t="s">
        <v>46</v>
      </c>
      <c r="BF79" s="360" t="str">
        <f>BF71</f>
        <v>Um/A</v>
      </c>
      <c r="BG79" s="360" t="s">
        <v>45</v>
      </c>
      <c r="BH79" s="360" t="str">
        <f>BH71</f>
        <v>CmO</v>
      </c>
      <c r="BI79" s="360" t="s">
        <v>49</v>
      </c>
      <c r="BJ79" s="1308"/>
      <c r="BL79" s="1305"/>
      <c r="BM79" s="360" t="str">
        <f>BM71</f>
        <v>Bénéfice mensuel</v>
      </c>
      <c r="BN79" s="360" t="s">
        <v>44</v>
      </c>
      <c r="BO79" s="360" t="str">
        <f>BO71</f>
        <v>Achalandage mensuel</v>
      </c>
      <c r="BP79" s="360" t="s">
        <v>45</v>
      </c>
      <c r="BQ79" s="360" t="s">
        <v>46</v>
      </c>
      <c r="BR79" s="360" t="str">
        <f>BR71</f>
        <v>Um/A</v>
      </c>
      <c r="BS79" s="360" t="s">
        <v>45</v>
      </c>
      <c r="BT79" s="360" t="str">
        <f>BT71</f>
        <v>BmO</v>
      </c>
      <c r="BU79" s="360" t="s">
        <v>49</v>
      </c>
      <c r="BV79" s="1308"/>
    </row>
    <row r="80" spans="2:74" ht="19" x14ac:dyDescent="0.25">
      <c r="B80" s="1364"/>
      <c r="C80" s="1366"/>
      <c r="D80" s="1305"/>
      <c r="E80" s="361" t="s">
        <v>2</v>
      </c>
      <c r="F80" s="362"/>
      <c r="G80" s="361"/>
      <c r="H80" s="362"/>
      <c r="I80" s="362"/>
      <c r="J80" s="362"/>
      <c r="K80" s="362"/>
      <c r="L80" s="362"/>
      <c r="M80" s="362"/>
      <c r="N80" s="1308"/>
      <c r="P80" s="1305"/>
      <c r="Q80" s="361" t="s">
        <v>2</v>
      </c>
      <c r="R80" s="362"/>
      <c r="S80" s="361"/>
      <c r="T80" s="362"/>
      <c r="U80" s="362"/>
      <c r="V80" s="362"/>
      <c r="W80" s="362"/>
      <c r="X80" s="362"/>
      <c r="Y80" s="362"/>
      <c r="Z80" s="1308"/>
      <c r="AB80" s="1305"/>
      <c r="AC80" s="361" t="s">
        <v>2</v>
      </c>
      <c r="AD80" s="362"/>
      <c r="AE80" s="361"/>
      <c r="AF80" s="362"/>
      <c r="AG80" s="362"/>
      <c r="AH80" s="362"/>
      <c r="AI80" s="362"/>
      <c r="AJ80" s="362"/>
      <c r="AK80" s="362"/>
      <c r="AL80" s="1308"/>
      <c r="AN80" s="1305"/>
      <c r="AO80" s="361" t="s">
        <v>2</v>
      </c>
      <c r="AP80" s="362"/>
      <c r="AQ80" s="361"/>
      <c r="AR80" s="362"/>
      <c r="AS80" s="362"/>
      <c r="AT80" s="362"/>
      <c r="AU80" s="362"/>
      <c r="AV80" s="362"/>
      <c r="AW80" s="362"/>
      <c r="AX80" s="1308"/>
      <c r="AZ80" s="1305"/>
      <c r="BA80" s="361" t="s">
        <v>2</v>
      </c>
      <c r="BB80" s="362"/>
      <c r="BC80" s="361"/>
      <c r="BD80" s="362"/>
      <c r="BE80" s="362"/>
      <c r="BF80" s="362"/>
      <c r="BG80" s="362"/>
      <c r="BH80" s="362"/>
      <c r="BI80" s="362"/>
      <c r="BJ80" s="1308"/>
      <c r="BL80" s="1305"/>
      <c r="BM80" s="361" t="s">
        <v>2</v>
      </c>
      <c r="BN80" s="362"/>
      <c r="BO80" s="361"/>
      <c r="BP80" s="362"/>
      <c r="BQ80" s="362"/>
      <c r="BR80" s="362"/>
      <c r="BS80" s="362"/>
      <c r="BT80" s="362"/>
      <c r="BU80" s="362"/>
      <c r="BV80" s="1308"/>
    </row>
    <row r="81" spans="2:74" ht="26" x14ac:dyDescent="0.3">
      <c r="B81" s="1364"/>
      <c r="C81" s="1366"/>
      <c r="D81" s="1305"/>
      <c r="E81" s="363" t="str">
        <f>E73</f>
        <v>D</v>
      </c>
      <c r="F81" s="364"/>
      <c r="G81" s="363" t="str">
        <f>G73</f>
        <v>A</v>
      </c>
      <c r="H81" s="364"/>
      <c r="I81" s="364"/>
      <c r="J81" s="363" t="str">
        <f>+J79</f>
        <v>Um/A</v>
      </c>
      <c r="K81" s="364"/>
      <c r="L81" s="363" t="str">
        <f>+L79</f>
        <v>PmO</v>
      </c>
      <c r="M81" s="364"/>
      <c r="N81" s="1308"/>
      <c r="P81" s="1305"/>
      <c r="Q81" s="363" t="str">
        <f>Q73</f>
        <v>D</v>
      </c>
      <c r="R81" s="364"/>
      <c r="S81" s="363" t="str">
        <f>S73</f>
        <v>A</v>
      </c>
      <c r="T81" s="364"/>
      <c r="U81" s="364"/>
      <c r="V81" s="363" t="str">
        <f>+V79</f>
        <v>Um/A</v>
      </c>
      <c r="W81" s="364"/>
      <c r="X81" s="363" t="str">
        <f>+X79</f>
        <v>PmO</v>
      </c>
      <c r="Y81" s="364"/>
      <c r="Z81" s="1308"/>
      <c r="AB81" s="1305"/>
      <c r="AC81" s="363" t="str">
        <f>AC73</f>
        <v>D</v>
      </c>
      <c r="AD81" s="364"/>
      <c r="AE81" s="363" t="str">
        <f>AE73</f>
        <v>A</v>
      </c>
      <c r="AF81" s="364"/>
      <c r="AG81" s="364"/>
      <c r="AH81" s="363" t="str">
        <f>+AH79</f>
        <v>Um/A</v>
      </c>
      <c r="AI81" s="364"/>
      <c r="AJ81" s="363" t="str">
        <f>+AJ79</f>
        <v>PmO</v>
      </c>
      <c r="AK81" s="364"/>
      <c r="AL81" s="1308"/>
      <c r="AN81" s="1305"/>
      <c r="AO81" s="363" t="str">
        <f>AO73</f>
        <v>D</v>
      </c>
      <c r="AP81" s="364"/>
      <c r="AQ81" s="363" t="str">
        <f>AQ73</f>
        <v>A</v>
      </c>
      <c r="AR81" s="364"/>
      <c r="AS81" s="364"/>
      <c r="AT81" s="363" t="str">
        <f>+AT79</f>
        <v>Um/A</v>
      </c>
      <c r="AU81" s="364"/>
      <c r="AV81" s="363" t="str">
        <f>+AV79</f>
        <v>PmO</v>
      </c>
      <c r="AW81" s="364"/>
      <c r="AX81" s="1308"/>
      <c r="AZ81" s="1305"/>
      <c r="BA81" s="363" t="str">
        <f>BA73</f>
        <v xml:space="preserve">C </v>
      </c>
      <c r="BB81" s="364"/>
      <c r="BC81" s="363" t="str">
        <f>BC73</f>
        <v>A</v>
      </c>
      <c r="BD81" s="364"/>
      <c r="BE81" s="364"/>
      <c r="BF81" s="363" t="str">
        <f>+BF79</f>
        <v>Um/A</v>
      </c>
      <c r="BG81" s="364"/>
      <c r="BH81" s="363" t="str">
        <f>+BH79</f>
        <v>CmO</v>
      </c>
      <c r="BI81" s="364"/>
      <c r="BJ81" s="1308"/>
      <c r="BL81" s="1305"/>
      <c r="BM81" s="363" t="str">
        <f>BM73</f>
        <v xml:space="preserve">B </v>
      </c>
      <c r="BN81" s="364"/>
      <c r="BO81" s="363" t="str">
        <f>BO73</f>
        <v>A</v>
      </c>
      <c r="BP81" s="364"/>
      <c r="BQ81" s="364"/>
      <c r="BR81" s="363" t="str">
        <f>+BR79</f>
        <v>Um/A</v>
      </c>
      <c r="BS81" s="364"/>
      <c r="BT81" s="363" t="str">
        <f>+BT79</f>
        <v>BmO</v>
      </c>
      <c r="BU81" s="364"/>
      <c r="BV81" s="1308"/>
    </row>
    <row r="82" spans="2:74" ht="21" x14ac:dyDescent="0.25">
      <c r="B82" s="1364"/>
      <c r="C82" s="1366"/>
      <c r="D82" s="1305"/>
      <c r="E82" s="337">
        <f>+Q82+AC82+AO82</f>
        <v>94358.631666666683</v>
      </c>
      <c r="F82" s="360" t="s">
        <v>44</v>
      </c>
      <c r="G82" s="338">
        <f>'% Occupation'!M19</f>
        <v>4426</v>
      </c>
      <c r="H82" s="360" t="s">
        <v>45</v>
      </c>
      <c r="I82" s="360" t="s">
        <v>46</v>
      </c>
      <c r="J82" s="339">
        <f>+V82+AH82+AT82</f>
        <v>3.3</v>
      </c>
      <c r="K82" s="360" t="s">
        <v>45</v>
      </c>
      <c r="L82" s="340">
        <f>E82/G82/J82</f>
        <v>6.4603535353535371</v>
      </c>
      <c r="M82" s="360" t="s">
        <v>49</v>
      </c>
      <c r="N82" s="1308"/>
      <c r="P82" s="1305"/>
      <c r="Q82" s="337">
        <f>+S82*(V82*X82)</f>
        <v>45834.918333333342</v>
      </c>
      <c r="R82" s="360" t="s">
        <v>44</v>
      </c>
      <c r="S82" s="338">
        <f>G82</f>
        <v>4426</v>
      </c>
      <c r="T82" s="360" t="s">
        <v>45</v>
      </c>
      <c r="U82" s="360" t="s">
        <v>46</v>
      </c>
      <c r="V82" s="375">
        <v>2.15</v>
      </c>
      <c r="W82" s="360" t="s">
        <v>45</v>
      </c>
      <c r="X82" s="1083">
        <f>'Calcul CmO et PmO'!F408</f>
        <v>4.8166666666666673</v>
      </c>
      <c r="Y82" s="360" t="s">
        <v>49</v>
      </c>
      <c r="Z82" s="1308"/>
      <c r="AB82" s="1305"/>
      <c r="AC82" s="337">
        <f>+AE82*(AH82*AJ82)</f>
        <v>48523.713333333333</v>
      </c>
      <c r="AD82" s="360" t="s">
        <v>44</v>
      </c>
      <c r="AE82" s="338">
        <f>S82</f>
        <v>4426</v>
      </c>
      <c r="AF82" s="360" t="s">
        <v>45</v>
      </c>
      <c r="AG82" s="360" t="s">
        <v>46</v>
      </c>
      <c r="AH82" s="375">
        <v>1.1499999999999999</v>
      </c>
      <c r="AI82" s="360" t="s">
        <v>45</v>
      </c>
      <c r="AJ82" s="1235">
        <f>'Calcul CmO et PmO'!F423</f>
        <v>9.5333333333333332</v>
      </c>
      <c r="AK82" s="360" t="s">
        <v>49</v>
      </c>
      <c r="AL82" s="1308"/>
      <c r="AN82" s="1305"/>
      <c r="AO82" s="337">
        <f>+AQ82*(AT82*AV82)</f>
        <v>0</v>
      </c>
      <c r="AP82" s="360" t="s">
        <v>44</v>
      </c>
      <c r="AQ82" s="338">
        <f>AE82</f>
        <v>4426</v>
      </c>
      <c r="AR82" s="360" t="s">
        <v>45</v>
      </c>
      <c r="AS82" s="360" t="s">
        <v>46</v>
      </c>
      <c r="AT82" s="375">
        <f>AT74</f>
        <v>0</v>
      </c>
      <c r="AU82" s="360" t="s">
        <v>45</v>
      </c>
      <c r="AV82" s="376">
        <f>AV74</f>
        <v>0</v>
      </c>
      <c r="AW82" s="360" t="s">
        <v>49</v>
      </c>
      <c r="AX82" s="1308"/>
      <c r="AZ82" s="1305"/>
      <c r="BA82" s="337">
        <f>'État des Résultats'!AF14-'État des Résultats'!AF45</f>
        <v>87246.924812206038</v>
      </c>
      <c r="BB82" s="360" t="s">
        <v>44</v>
      </c>
      <c r="BC82" s="338">
        <f>G82</f>
        <v>4426</v>
      </c>
      <c r="BD82" s="360" t="s">
        <v>45</v>
      </c>
      <c r="BE82" s="360" t="s">
        <v>46</v>
      </c>
      <c r="BF82" s="339">
        <f>J82</f>
        <v>3.3</v>
      </c>
      <c r="BG82" s="360" t="s">
        <v>45</v>
      </c>
      <c r="BH82" s="340">
        <f>BA82/BC82/BF82</f>
        <v>5.973443756056227</v>
      </c>
      <c r="BI82" s="360" t="s">
        <v>49</v>
      </c>
      <c r="BJ82" s="1308"/>
      <c r="BL82" s="1305"/>
      <c r="BM82" s="337">
        <f>'État des Résultats'!AF45</f>
        <v>7111.70685446064</v>
      </c>
      <c r="BN82" s="360" t="s">
        <v>44</v>
      </c>
      <c r="BO82" s="338">
        <f>G82</f>
        <v>4426</v>
      </c>
      <c r="BP82" s="360" t="s">
        <v>45</v>
      </c>
      <c r="BQ82" s="360" t="s">
        <v>46</v>
      </c>
      <c r="BR82" s="339">
        <f>J82</f>
        <v>3.3</v>
      </c>
      <c r="BS82" s="360" t="s">
        <v>45</v>
      </c>
      <c r="BT82" s="340">
        <f>BM82/BO82/BR82</f>
        <v>0.48690977929730928</v>
      </c>
      <c r="BU82" s="360" t="s">
        <v>49</v>
      </c>
      <c r="BV82" s="1308"/>
    </row>
    <row r="83" spans="2:74" ht="17" thickBot="1" x14ac:dyDescent="0.25">
      <c r="B83" s="1364"/>
      <c r="C83" s="1366"/>
      <c r="D83" s="1306"/>
      <c r="E83" s="365"/>
      <c r="F83" s="365"/>
      <c r="G83" s="365"/>
      <c r="H83" s="365"/>
      <c r="I83" s="365"/>
      <c r="J83" s="365"/>
      <c r="K83" s="365"/>
      <c r="L83" s="365"/>
      <c r="M83" s="365"/>
      <c r="N83" s="1309"/>
      <c r="P83" s="1306"/>
      <c r="Q83" s="365"/>
      <c r="R83" s="365"/>
      <c r="S83" s="365"/>
      <c r="T83" s="365"/>
      <c r="U83" s="365"/>
      <c r="V83" s="365"/>
      <c r="W83" s="365"/>
      <c r="X83" s="365"/>
      <c r="Y83" s="365"/>
      <c r="Z83" s="1309"/>
      <c r="AB83" s="1306"/>
      <c r="AC83" s="365"/>
      <c r="AD83" s="365"/>
      <c r="AE83" s="365"/>
      <c r="AF83" s="365"/>
      <c r="AG83" s="365"/>
      <c r="AH83" s="365"/>
      <c r="AI83" s="365"/>
      <c r="AJ83" s="1245"/>
      <c r="AK83" s="365"/>
      <c r="AL83" s="1309"/>
      <c r="AN83" s="1306"/>
      <c r="AO83" s="365"/>
      <c r="AP83" s="365"/>
      <c r="AQ83" s="365"/>
      <c r="AR83" s="365"/>
      <c r="AS83" s="365"/>
      <c r="AT83" s="365"/>
      <c r="AU83" s="365"/>
      <c r="AV83" s="365"/>
      <c r="AW83" s="365"/>
      <c r="AX83" s="1309"/>
      <c r="AZ83" s="1306"/>
      <c r="BA83" s="365"/>
      <c r="BB83" s="365"/>
      <c r="BC83" s="365"/>
      <c r="BD83" s="365"/>
      <c r="BE83" s="365"/>
      <c r="BF83" s="365"/>
      <c r="BG83" s="365"/>
      <c r="BH83" s="365"/>
      <c r="BI83" s="365"/>
      <c r="BJ83" s="1309"/>
      <c r="BL83" s="1306"/>
      <c r="BM83" s="365"/>
      <c r="BN83" s="365"/>
      <c r="BO83" s="365"/>
      <c r="BP83" s="365"/>
      <c r="BQ83" s="365"/>
      <c r="BR83" s="365"/>
      <c r="BS83" s="365"/>
      <c r="BT83" s="365"/>
      <c r="BU83" s="365"/>
      <c r="BV83" s="1309"/>
    </row>
    <row r="84" spans="2:74" ht="5" customHeight="1" thickTop="1" thickBot="1" x14ac:dyDescent="0.2">
      <c r="B84" s="1364"/>
      <c r="C84" s="209"/>
      <c r="AJ84" s="1237"/>
    </row>
    <row r="85" spans="2:74" ht="17" thickTop="1" x14ac:dyDescent="0.2">
      <c r="B85" s="1364"/>
      <c r="C85" s="1366" t="s">
        <v>628</v>
      </c>
      <c r="D85" s="1304" t="s">
        <v>42</v>
      </c>
      <c r="E85" s="358"/>
      <c r="F85" s="358"/>
      <c r="G85" s="358"/>
      <c r="H85" s="358"/>
      <c r="I85" s="358"/>
      <c r="J85" s="358"/>
      <c r="K85" s="358"/>
      <c r="L85" s="358"/>
      <c r="M85" s="358"/>
      <c r="N85" s="1307" t="s">
        <v>43</v>
      </c>
      <c r="P85" s="1304" t="s">
        <v>42</v>
      </c>
      <c r="Q85" s="358"/>
      <c r="R85" s="358"/>
      <c r="S85" s="358"/>
      <c r="T85" s="358"/>
      <c r="U85" s="358"/>
      <c r="V85" s="358"/>
      <c r="W85" s="358"/>
      <c r="X85" s="358"/>
      <c r="Y85" s="358"/>
      <c r="Z85" s="1307" t="s">
        <v>43</v>
      </c>
      <c r="AB85" s="1304" t="s">
        <v>42</v>
      </c>
      <c r="AC85" s="358"/>
      <c r="AD85" s="358"/>
      <c r="AE85" s="358"/>
      <c r="AF85" s="358"/>
      <c r="AG85" s="358"/>
      <c r="AH85" s="358"/>
      <c r="AI85" s="358"/>
      <c r="AJ85" s="1246"/>
      <c r="AK85" s="358"/>
      <c r="AL85" s="1307" t="s">
        <v>43</v>
      </c>
      <c r="AN85" s="1304" t="s">
        <v>42</v>
      </c>
      <c r="AO85" s="358"/>
      <c r="AP85" s="358"/>
      <c r="AQ85" s="358"/>
      <c r="AR85" s="358"/>
      <c r="AS85" s="358"/>
      <c r="AT85" s="358"/>
      <c r="AU85" s="358"/>
      <c r="AV85" s="358"/>
      <c r="AW85" s="358"/>
      <c r="AX85" s="1307" t="s">
        <v>43</v>
      </c>
      <c r="AZ85" s="1304" t="s">
        <v>42</v>
      </c>
      <c r="BA85" s="358"/>
      <c r="BB85" s="358"/>
      <c r="BC85" s="358"/>
      <c r="BD85" s="358"/>
      <c r="BE85" s="358"/>
      <c r="BF85" s="358"/>
      <c r="BG85" s="358"/>
      <c r="BH85" s="358"/>
      <c r="BI85" s="358"/>
      <c r="BJ85" s="1307" t="s">
        <v>43</v>
      </c>
      <c r="BL85" s="1304" t="s">
        <v>42</v>
      </c>
      <c r="BM85" s="358"/>
      <c r="BN85" s="358"/>
      <c r="BO85" s="358"/>
      <c r="BP85" s="358"/>
      <c r="BQ85" s="358"/>
      <c r="BR85" s="358"/>
      <c r="BS85" s="358"/>
      <c r="BT85" s="358"/>
      <c r="BU85" s="358"/>
      <c r="BV85" s="1307" t="s">
        <v>43</v>
      </c>
    </row>
    <row r="86" spans="2:74" ht="16" x14ac:dyDescent="0.2">
      <c r="B86" s="1364"/>
      <c r="C86" s="1366"/>
      <c r="D86" s="1305"/>
      <c r="E86" s="359"/>
      <c r="F86" s="359"/>
      <c r="G86" s="359"/>
      <c r="H86" s="359"/>
      <c r="I86" s="359"/>
      <c r="J86" s="359"/>
      <c r="K86" s="359"/>
      <c r="L86" s="359"/>
      <c r="M86" s="359"/>
      <c r="N86" s="1308"/>
      <c r="P86" s="1305"/>
      <c r="Q86" s="359"/>
      <c r="R86" s="359"/>
      <c r="S86" s="359"/>
      <c r="T86" s="359"/>
      <c r="U86" s="359"/>
      <c r="V86" s="359"/>
      <c r="W86" s="359"/>
      <c r="X86" s="359"/>
      <c r="Y86" s="359"/>
      <c r="Z86" s="1308"/>
      <c r="AB86" s="1305"/>
      <c r="AC86" s="359"/>
      <c r="AD86" s="359"/>
      <c r="AE86" s="359"/>
      <c r="AF86" s="359"/>
      <c r="AG86" s="359"/>
      <c r="AH86" s="359"/>
      <c r="AI86" s="359"/>
      <c r="AJ86" s="1247"/>
      <c r="AK86" s="359"/>
      <c r="AL86" s="1308"/>
      <c r="AN86" s="1305"/>
      <c r="AO86" s="359"/>
      <c r="AP86" s="359"/>
      <c r="AQ86" s="359"/>
      <c r="AR86" s="359"/>
      <c r="AS86" s="359"/>
      <c r="AT86" s="359"/>
      <c r="AU86" s="359"/>
      <c r="AV86" s="359"/>
      <c r="AW86" s="359"/>
      <c r="AX86" s="1308"/>
      <c r="AZ86" s="1305"/>
      <c r="BA86" s="359"/>
      <c r="BB86" s="359"/>
      <c r="BC86" s="359"/>
      <c r="BD86" s="359"/>
      <c r="BE86" s="359"/>
      <c r="BF86" s="359"/>
      <c r="BG86" s="359"/>
      <c r="BH86" s="359"/>
      <c r="BI86" s="359"/>
      <c r="BJ86" s="1308"/>
      <c r="BL86" s="1305"/>
      <c r="BM86" s="359"/>
      <c r="BN86" s="359"/>
      <c r="BO86" s="359"/>
      <c r="BP86" s="359"/>
      <c r="BQ86" s="359"/>
      <c r="BR86" s="359"/>
      <c r="BS86" s="359"/>
      <c r="BT86" s="359"/>
      <c r="BU86" s="359"/>
      <c r="BV86" s="1308"/>
    </row>
    <row r="87" spans="2:74" ht="21" x14ac:dyDescent="0.25">
      <c r="B87" s="1364"/>
      <c r="C87" s="1366"/>
      <c r="D87" s="1305"/>
      <c r="E87" s="360" t="str">
        <f>E79</f>
        <v>Demande mensuelle</v>
      </c>
      <c r="F87" s="360" t="s">
        <v>44</v>
      </c>
      <c r="G87" s="360" t="str">
        <f>G79</f>
        <v>Achalandage mensuel</v>
      </c>
      <c r="H87" s="360" t="s">
        <v>45</v>
      </c>
      <c r="I87" s="360" t="s">
        <v>46</v>
      </c>
      <c r="J87" s="360" t="str">
        <f>J79</f>
        <v>Um/A</v>
      </c>
      <c r="K87" s="360" t="s">
        <v>45</v>
      </c>
      <c r="L87" s="360" t="str">
        <f>L79</f>
        <v>PmO</v>
      </c>
      <c r="M87" s="360" t="s">
        <v>49</v>
      </c>
      <c r="N87" s="1308"/>
      <c r="P87" s="1305"/>
      <c r="Q87" s="360" t="str">
        <f>Q79</f>
        <v>Demande mensuelle</v>
      </c>
      <c r="R87" s="360" t="s">
        <v>44</v>
      </c>
      <c r="S87" s="360" t="str">
        <f>S79</f>
        <v>Achalandage mensuel</v>
      </c>
      <c r="T87" s="360" t="s">
        <v>45</v>
      </c>
      <c r="U87" s="360" t="s">
        <v>46</v>
      </c>
      <c r="V87" s="360" t="str">
        <f>V79</f>
        <v>Um/A</v>
      </c>
      <c r="W87" s="360" t="s">
        <v>45</v>
      </c>
      <c r="X87" s="360" t="str">
        <f>X79</f>
        <v>PmO</v>
      </c>
      <c r="Y87" s="360" t="s">
        <v>49</v>
      </c>
      <c r="Z87" s="1308"/>
      <c r="AB87" s="1305"/>
      <c r="AC87" s="360" t="str">
        <f>AC79</f>
        <v>Demande mensuelle</v>
      </c>
      <c r="AD87" s="360" t="s">
        <v>44</v>
      </c>
      <c r="AE87" s="360" t="str">
        <f>AE79</f>
        <v>Achalandage mensuel</v>
      </c>
      <c r="AF87" s="360" t="s">
        <v>45</v>
      </c>
      <c r="AG87" s="360" t="s">
        <v>46</v>
      </c>
      <c r="AH87" s="360" t="str">
        <f>AH79</f>
        <v>Um/A</v>
      </c>
      <c r="AI87" s="360" t="s">
        <v>45</v>
      </c>
      <c r="AJ87" s="360" t="str">
        <f>AJ79</f>
        <v>PmO</v>
      </c>
      <c r="AK87" s="360" t="s">
        <v>49</v>
      </c>
      <c r="AL87" s="1308"/>
      <c r="AN87" s="1305"/>
      <c r="AO87" s="360" t="str">
        <f>AO79</f>
        <v>Demande mensuelle</v>
      </c>
      <c r="AP87" s="360" t="s">
        <v>44</v>
      </c>
      <c r="AQ87" s="360" t="str">
        <f>AQ79</f>
        <v>Achalandage mensuel</v>
      </c>
      <c r="AR87" s="360" t="s">
        <v>45</v>
      </c>
      <c r="AS87" s="360" t="s">
        <v>46</v>
      </c>
      <c r="AT87" s="360" t="str">
        <f>AT79</f>
        <v>Um/A</v>
      </c>
      <c r="AU87" s="360" t="s">
        <v>45</v>
      </c>
      <c r="AV87" s="360" t="str">
        <f>AV79</f>
        <v>PmO</v>
      </c>
      <c r="AW87" s="360" t="s">
        <v>49</v>
      </c>
      <c r="AX87" s="1308"/>
      <c r="AZ87" s="1305"/>
      <c r="BA87" s="360" t="str">
        <f>BA79</f>
        <v>Coût mensuel</v>
      </c>
      <c r="BB87" s="360" t="s">
        <v>44</v>
      </c>
      <c r="BC87" s="360" t="str">
        <f>BC79</f>
        <v>Achalandage mensuel</v>
      </c>
      <c r="BD87" s="360" t="s">
        <v>45</v>
      </c>
      <c r="BE87" s="360" t="s">
        <v>46</v>
      </c>
      <c r="BF87" s="360" t="str">
        <f>BF79</f>
        <v>Um/A</v>
      </c>
      <c r="BG87" s="360" t="s">
        <v>45</v>
      </c>
      <c r="BH87" s="360" t="str">
        <f>BH79</f>
        <v>CmO</v>
      </c>
      <c r="BI87" s="360" t="s">
        <v>49</v>
      </c>
      <c r="BJ87" s="1308"/>
      <c r="BL87" s="1305"/>
      <c r="BM87" s="360" t="str">
        <f>BM79</f>
        <v>Bénéfice mensuel</v>
      </c>
      <c r="BN87" s="360" t="s">
        <v>44</v>
      </c>
      <c r="BO87" s="360" t="str">
        <f>BO79</f>
        <v>Achalandage mensuel</v>
      </c>
      <c r="BP87" s="360" t="s">
        <v>45</v>
      </c>
      <c r="BQ87" s="360" t="s">
        <v>46</v>
      </c>
      <c r="BR87" s="360" t="str">
        <f>BR79</f>
        <v>Um/A</v>
      </c>
      <c r="BS87" s="360" t="s">
        <v>45</v>
      </c>
      <c r="BT87" s="360" t="str">
        <f>BT79</f>
        <v>BmO</v>
      </c>
      <c r="BU87" s="360" t="s">
        <v>49</v>
      </c>
      <c r="BV87" s="1308"/>
    </row>
    <row r="88" spans="2:74" ht="19" x14ac:dyDescent="0.25">
      <c r="B88" s="1364"/>
      <c r="C88" s="1366"/>
      <c r="D88" s="1305"/>
      <c r="E88" s="361" t="s">
        <v>2</v>
      </c>
      <c r="F88" s="362"/>
      <c r="G88" s="361"/>
      <c r="H88" s="362"/>
      <c r="I88" s="362"/>
      <c r="J88" s="362"/>
      <c r="K88" s="362"/>
      <c r="L88" s="362"/>
      <c r="M88" s="362"/>
      <c r="N88" s="1308"/>
      <c r="P88" s="1305"/>
      <c r="Q88" s="361" t="s">
        <v>2</v>
      </c>
      <c r="R88" s="362"/>
      <c r="S88" s="361"/>
      <c r="T88" s="362"/>
      <c r="U88" s="362"/>
      <c r="V88" s="362"/>
      <c r="W88" s="362"/>
      <c r="X88" s="362"/>
      <c r="Y88" s="362"/>
      <c r="Z88" s="1308"/>
      <c r="AB88" s="1305"/>
      <c r="AC88" s="361" t="s">
        <v>2</v>
      </c>
      <c r="AD88" s="362"/>
      <c r="AE88" s="361"/>
      <c r="AF88" s="362"/>
      <c r="AG88" s="362"/>
      <c r="AH88" s="362"/>
      <c r="AI88" s="362"/>
      <c r="AJ88" s="1248"/>
      <c r="AK88" s="362"/>
      <c r="AL88" s="1308"/>
      <c r="AN88" s="1305"/>
      <c r="AO88" s="361" t="s">
        <v>2</v>
      </c>
      <c r="AP88" s="362"/>
      <c r="AQ88" s="361"/>
      <c r="AR88" s="362"/>
      <c r="AS88" s="362"/>
      <c r="AT88" s="362"/>
      <c r="AU88" s="362"/>
      <c r="AV88" s="362"/>
      <c r="AW88" s="362"/>
      <c r="AX88" s="1308"/>
      <c r="AZ88" s="1305"/>
      <c r="BA88" s="361" t="s">
        <v>2</v>
      </c>
      <c r="BB88" s="362"/>
      <c r="BC88" s="361"/>
      <c r="BD88" s="362"/>
      <c r="BE88" s="362"/>
      <c r="BF88" s="362"/>
      <c r="BG88" s="362"/>
      <c r="BH88" s="362"/>
      <c r="BI88" s="362"/>
      <c r="BJ88" s="1308"/>
      <c r="BL88" s="1305"/>
      <c r="BM88" s="361" t="s">
        <v>2</v>
      </c>
      <c r="BN88" s="362"/>
      <c r="BO88" s="361"/>
      <c r="BP88" s="362"/>
      <c r="BQ88" s="362"/>
      <c r="BR88" s="362"/>
      <c r="BS88" s="362"/>
      <c r="BT88" s="362"/>
      <c r="BU88" s="362"/>
      <c r="BV88" s="1308"/>
    </row>
    <row r="89" spans="2:74" ht="26" x14ac:dyDescent="0.3">
      <c r="B89" s="1364"/>
      <c r="C89" s="1366"/>
      <c r="D89" s="1305"/>
      <c r="E89" s="363" t="str">
        <f>E81</f>
        <v>D</v>
      </c>
      <c r="F89" s="364"/>
      <c r="G89" s="363" t="str">
        <f>G81</f>
        <v>A</v>
      </c>
      <c r="H89" s="364"/>
      <c r="I89" s="364"/>
      <c r="J89" s="363" t="str">
        <f>+J87</f>
        <v>Um/A</v>
      </c>
      <c r="K89" s="364"/>
      <c r="L89" s="363" t="str">
        <f>+L87</f>
        <v>PmO</v>
      </c>
      <c r="M89" s="364"/>
      <c r="N89" s="1308"/>
      <c r="P89" s="1305"/>
      <c r="Q89" s="363" t="str">
        <f>Q81</f>
        <v>D</v>
      </c>
      <c r="R89" s="364"/>
      <c r="S89" s="363" t="str">
        <f>S81</f>
        <v>A</v>
      </c>
      <c r="T89" s="364"/>
      <c r="U89" s="364"/>
      <c r="V89" s="363" t="str">
        <f>+V87</f>
        <v>Um/A</v>
      </c>
      <c r="W89" s="364"/>
      <c r="X89" s="363" t="str">
        <f>+X87</f>
        <v>PmO</v>
      </c>
      <c r="Y89" s="364"/>
      <c r="Z89" s="1308"/>
      <c r="AB89" s="1305"/>
      <c r="AC89" s="363" t="str">
        <f>AC81</f>
        <v>D</v>
      </c>
      <c r="AD89" s="364"/>
      <c r="AE89" s="363" t="str">
        <f>AE81</f>
        <v>A</v>
      </c>
      <c r="AF89" s="364"/>
      <c r="AG89" s="364"/>
      <c r="AH89" s="363" t="str">
        <f>+AH87</f>
        <v>Um/A</v>
      </c>
      <c r="AI89" s="364"/>
      <c r="AJ89" s="363" t="str">
        <f>+AJ87</f>
        <v>PmO</v>
      </c>
      <c r="AK89" s="364"/>
      <c r="AL89" s="1308"/>
      <c r="AN89" s="1305"/>
      <c r="AO89" s="363" t="str">
        <f>AO81</f>
        <v>D</v>
      </c>
      <c r="AP89" s="364"/>
      <c r="AQ89" s="363" t="str">
        <f>AQ81</f>
        <v>A</v>
      </c>
      <c r="AR89" s="364"/>
      <c r="AS89" s="364"/>
      <c r="AT89" s="363" t="str">
        <f>+AT87</f>
        <v>Um/A</v>
      </c>
      <c r="AU89" s="364"/>
      <c r="AV89" s="363" t="str">
        <f>+AV87</f>
        <v>PmO</v>
      </c>
      <c r="AW89" s="364"/>
      <c r="AX89" s="1308"/>
      <c r="AZ89" s="1305"/>
      <c r="BA89" s="363" t="str">
        <f>BA81</f>
        <v xml:space="preserve">C </v>
      </c>
      <c r="BB89" s="364"/>
      <c r="BC89" s="363" t="str">
        <f>BC81</f>
        <v>A</v>
      </c>
      <c r="BD89" s="364"/>
      <c r="BE89" s="364"/>
      <c r="BF89" s="363" t="str">
        <f>+BF87</f>
        <v>Um/A</v>
      </c>
      <c r="BG89" s="364"/>
      <c r="BH89" s="363" t="str">
        <f>+BH87</f>
        <v>CmO</v>
      </c>
      <c r="BI89" s="364"/>
      <c r="BJ89" s="1308"/>
      <c r="BL89" s="1305"/>
      <c r="BM89" s="363" t="str">
        <f>BM81</f>
        <v xml:space="preserve">B </v>
      </c>
      <c r="BN89" s="364"/>
      <c r="BO89" s="363" t="str">
        <f>BO81</f>
        <v>A</v>
      </c>
      <c r="BP89" s="364"/>
      <c r="BQ89" s="364"/>
      <c r="BR89" s="363" t="str">
        <f>+BR87</f>
        <v>Um/A</v>
      </c>
      <c r="BS89" s="364"/>
      <c r="BT89" s="363" t="str">
        <f>+BT87</f>
        <v>BmO</v>
      </c>
      <c r="BU89" s="364"/>
      <c r="BV89" s="1308"/>
    </row>
    <row r="90" spans="2:74" ht="21" x14ac:dyDescent="0.25">
      <c r="B90" s="1364"/>
      <c r="C90" s="1366"/>
      <c r="D90" s="1305"/>
      <c r="E90" s="337">
        <f>+Q90+AC90+AO90</f>
        <v>87707.051666666666</v>
      </c>
      <c r="F90" s="360" t="s">
        <v>44</v>
      </c>
      <c r="G90" s="338">
        <f>'% Occupation'!N19</f>
        <v>4114</v>
      </c>
      <c r="H90" s="360" t="s">
        <v>45</v>
      </c>
      <c r="I90" s="360" t="s">
        <v>46</v>
      </c>
      <c r="J90" s="339">
        <f>+V90+AH90+AT90</f>
        <v>3.3</v>
      </c>
      <c r="K90" s="360" t="s">
        <v>45</v>
      </c>
      <c r="L90" s="340">
        <f>E90/G90/J90</f>
        <v>6.4603535353535362</v>
      </c>
      <c r="M90" s="360" t="s">
        <v>49</v>
      </c>
      <c r="N90" s="1308"/>
      <c r="P90" s="1305"/>
      <c r="Q90" s="337">
        <f>+S90*(V90*X90)</f>
        <v>42603.898333333338</v>
      </c>
      <c r="R90" s="360" t="s">
        <v>44</v>
      </c>
      <c r="S90" s="338">
        <f>G90</f>
        <v>4114</v>
      </c>
      <c r="T90" s="360" t="s">
        <v>45</v>
      </c>
      <c r="U90" s="360" t="s">
        <v>46</v>
      </c>
      <c r="V90" s="375">
        <f>V82</f>
        <v>2.15</v>
      </c>
      <c r="W90" s="360" t="s">
        <v>45</v>
      </c>
      <c r="X90" s="1083">
        <f>'Calcul CmO et PmO'!F451</f>
        <v>4.8166666666666673</v>
      </c>
      <c r="Y90" s="360" t="s">
        <v>49</v>
      </c>
      <c r="Z90" s="1308"/>
      <c r="AB90" s="1305"/>
      <c r="AC90" s="337">
        <f>+AE90*(AH90*AJ90)</f>
        <v>45103.153333333328</v>
      </c>
      <c r="AD90" s="360" t="s">
        <v>44</v>
      </c>
      <c r="AE90" s="338">
        <f>S90</f>
        <v>4114</v>
      </c>
      <c r="AF90" s="360" t="s">
        <v>45</v>
      </c>
      <c r="AG90" s="360" t="s">
        <v>46</v>
      </c>
      <c r="AH90" s="375">
        <f>AH82</f>
        <v>1.1499999999999999</v>
      </c>
      <c r="AI90" s="360" t="s">
        <v>45</v>
      </c>
      <c r="AJ90" s="1235">
        <f>'Calcul CmO et PmO'!F466</f>
        <v>9.5333333333333332</v>
      </c>
      <c r="AK90" s="360" t="s">
        <v>49</v>
      </c>
      <c r="AL90" s="1308"/>
      <c r="AN90" s="1305"/>
      <c r="AO90" s="337">
        <f>+AQ90*(AT90*AV90)</f>
        <v>0</v>
      </c>
      <c r="AP90" s="360" t="s">
        <v>44</v>
      </c>
      <c r="AQ90" s="338">
        <f>AE90</f>
        <v>4114</v>
      </c>
      <c r="AR90" s="360" t="s">
        <v>45</v>
      </c>
      <c r="AS90" s="360" t="s">
        <v>46</v>
      </c>
      <c r="AT90" s="375">
        <f>AT82</f>
        <v>0</v>
      </c>
      <c r="AU90" s="360" t="s">
        <v>45</v>
      </c>
      <c r="AV90" s="376">
        <f>AV82</f>
        <v>0</v>
      </c>
      <c r="AW90" s="360" t="s">
        <v>49</v>
      </c>
      <c r="AX90" s="1308"/>
      <c r="AZ90" s="1305"/>
      <c r="BA90" s="337">
        <f>'État des Résultats'!AI14-'État des Résultats'!AI45</f>
        <v>81885.632362723816</v>
      </c>
      <c r="BB90" s="360" t="s">
        <v>44</v>
      </c>
      <c r="BC90" s="338">
        <f>G90</f>
        <v>4114</v>
      </c>
      <c r="BD90" s="360" t="s">
        <v>45</v>
      </c>
      <c r="BE90" s="360" t="s">
        <v>46</v>
      </c>
      <c r="BF90" s="339">
        <f>J90</f>
        <v>3.3</v>
      </c>
      <c r="BG90" s="360" t="s">
        <v>45</v>
      </c>
      <c r="BH90" s="340">
        <f>BA90/BC90/BF90</f>
        <v>6.0315576054215336</v>
      </c>
      <c r="BI90" s="360" t="s">
        <v>49</v>
      </c>
      <c r="BJ90" s="1308"/>
      <c r="BL90" s="1305"/>
      <c r="BM90" s="337">
        <f>'État des Résultats'!AI45</f>
        <v>5821.4193039428574</v>
      </c>
      <c r="BN90" s="360" t="s">
        <v>44</v>
      </c>
      <c r="BO90" s="338">
        <f>G90</f>
        <v>4114</v>
      </c>
      <c r="BP90" s="360" t="s">
        <v>45</v>
      </c>
      <c r="BQ90" s="360" t="s">
        <v>46</v>
      </c>
      <c r="BR90" s="339">
        <f>J90</f>
        <v>3.3</v>
      </c>
      <c r="BS90" s="360" t="s">
        <v>45</v>
      </c>
      <c r="BT90" s="340">
        <f>BM90/BO90/BR90</f>
        <v>0.42879592993200288</v>
      </c>
      <c r="BU90" s="360" t="s">
        <v>49</v>
      </c>
      <c r="BV90" s="1308"/>
    </row>
    <row r="91" spans="2:74" ht="17" thickBot="1" x14ac:dyDescent="0.25">
      <c r="B91" s="1364"/>
      <c r="C91" s="1366"/>
      <c r="D91" s="1306"/>
      <c r="E91" s="365"/>
      <c r="F91" s="365"/>
      <c r="G91" s="365"/>
      <c r="H91" s="365"/>
      <c r="I91" s="365"/>
      <c r="J91" s="365"/>
      <c r="K91" s="365"/>
      <c r="L91" s="365"/>
      <c r="M91" s="365"/>
      <c r="N91" s="1309"/>
      <c r="P91" s="1306"/>
      <c r="Q91" s="365"/>
      <c r="R91" s="365"/>
      <c r="S91" s="365"/>
      <c r="T91" s="365"/>
      <c r="U91" s="365"/>
      <c r="V91" s="365"/>
      <c r="W91" s="365"/>
      <c r="X91" s="365"/>
      <c r="Y91" s="365"/>
      <c r="Z91" s="1309"/>
      <c r="AB91" s="1306"/>
      <c r="AC91" s="365"/>
      <c r="AD91" s="365"/>
      <c r="AE91" s="365"/>
      <c r="AF91" s="365"/>
      <c r="AG91" s="365"/>
      <c r="AH91" s="365"/>
      <c r="AI91" s="365"/>
      <c r="AJ91" s="1245"/>
      <c r="AK91" s="365"/>
      <c r="AL91" s="1309"/>
      <c r="AN91" s="1306"/>
      <c r="AO91" s="365"/>
      <c r="AP91" s="365"/>
      <c r="AQ91" s="365"/>
      <c r="AR91" s="365"/>
      <c r="AS91" s="365"/>
      <c r="AT91" s="365"/>
      <c r="AU91" s="365"/>
      <c r="AV91" s="365"/>
      <c r="AW91" s="365"/>
      <c r="AX91" s="1309"/>
      <c r="AZ91" s="1306"/>
      <c r="BA91" s="365"/>
      <c r="BB91" s="365"/>
      <c r="BC91" s="365"/>
      <c r="BD91" s="365"/>
      <c r="BE91" s="365"/>
      <c r="BF91" s="365"/>
      <c r="BG91" s="365"/>
      <c r="BH91" s="365"/>
      <c r="BI91" s="365"/>
      <c r="BJ91" s="1309"/>
      <c r="BL91" s="1306"/>
      <c r="BM91" s="365"/>
      <c r="BN91" s="365"/>
      <c r="BO91" s="365"/>
      <c r="BP91" s="365"/>
      <c r="BQ91" s="365"/>
      <c r="BR91" s="365"/>
      <c r="BS91" s="365"/>
      <c r="BT91" s="365"/>
      <c r="BU91" s="365"/>
      <c r="BV91" s="1309"/>
    </row>
    <row r="92" spans="2:74" ht="5" customHeight="1" thickTop="1" thickBot="1" x14ac:dyDescent="0.2">
      <c r="B92" s="1364"/>
      <c r="C92" s="209"/>
      <c r="AJ92" s="1237"/>
    </row>
    <row r="93" spans="2:74" ht="17" thickTop="1" x14ac:dyDescent="0.2">
      <c r="B93" s="1364"/>
      <c r="C93" s="1366" t="s">
        <v>133</v>
      </c>
      <c r="D93" s="1304" t="s">
        <v>42</v>
      </c>
      <c r="E93" s="358"/>
      <c r="F93" s="358"/>
      <c r="G93" s="358"/>
      <c r="H93" s="358"/>
      <c r="I93" s="358"/>
      <c r="J93" s="358"/>
      <c r="K93" s="358"/>
      <c r="L93" s="358"/>
      <c r="M93" s="358"/>
      <c r="N93" s="1307" t="s">
        <v>43</v>
      </c>
      <c r="P93" s="1304" t="s">
        <v>42</v>
      </c>
      <c r="Q93" s="358"/>
      <c r="R93" s="358"/>
      <c r="S93" s="358"/>
      <c r="T93" s="358"/>
      <c r="U93" s="358"/>
      <c r="V93" s="358"/>
      <c r="W93" s="358"/>
      <c r="X93" s="358"/>
      <c r="Y93" s="358"/>
      <c r="Z93" s="1307" t="s">
        <v>43</v>
      </c>
      <c r="AB93" s="1304" t="s">
        <v>42</v>
      </c>
      <c r="AC93" s="358"/>
      <c r="AD93" s="358"/>
      <c r="AE93" s="358"/>
      <c r="AF93" s="358"/>
      <c r="AG93" s="358"/>
      <c r="AH93" s="358"/>
      <c r="AI93" s="358"/>
      <c r="AJ93" s="1246"/>
      <c r="AK93" s="358"/>
      <c r="AL93" s="1307" t="s">
        <v>43</v>
      </c>
      <c r="AN93" s="1304" t="s">
        <v>42</v>
      </c>
      <c r="AO93" s="358"/>
      <c r="AP93" s="358"/>
      <c r="AQ93" s="358"/>
      <c r="AR93" s="358"/>
      <c r="AS93" s="358"/>
      <c r="AT93" s="358"/>
      <c r="AU93" s="358"/>
      <c r="AV93" s="358"/>
      <c r="AW93" s="358"/>
      <c r="AX93" s="1307" t="s">
        <v>43</v>
      </c>
      <c r="AZ93" s="1304" t="s">
        <v>42</v>
      </c>
      <c r="BA93" s="358"/>
      <c r="BB93" s="358"/>
      <c r="BC93" s="358"/>
      <c r="BD93" s="358"/>
      <c r="BE93" s="358"/>
      <c r="BF93" s="358"/>
      <c r="BG93" s="358"/>
      <c r="BH93" s="358"/>
      <c r="BI93" s="358"/>
      <c r="BJ93" s="1307" t="s">
        <v>43</v>
      </c>
      <c r="BL93" s="1304" t="s">
        <v>42</v>
      </c>
      <c r="BM93" s="358"/>
      <c r="BN93" s="358"/>
      <c r="BO93" s="358"/>
      <c r="BP93" s="358"/>
      <c r="BQ93" s="358"/>
      <c r="BR93" s="358"/>
      <c r="BS93" s="358"/>
      <c r="BT93" s="358"/>
      <c r="BU93" s="358"/>
      <c r="BV93" s="1307" t="s">
        <v>43</v>
      </c>
    </row>
    <row r="94" spans="2:74" ht="16" x14ac:dyDescent="0.2">
      <c r="B94" s="1364"/>
      <c r="C94" s="1366"/>
      <c r="D94" s="1305"/>
      <c r="E94" s="359"/>
      <c r="F94" s="359"/>
      <c r="G94" s="359"/>
      <c r="H94" s="359"/>
      <c r="I94" s="359"/>
      <c r="J94" s="359"/>
      <c r="K94" s="359"/>
      <c r="L94" s="359"/>
      <c r="M94" s="359"/>
      <c r="N94" s="1308"/>
      <c r="P94" s="1305"/>
      <c r="Q94" s="359"/>
      <c r="R94" s="359"/>
      <c r="S94" s="359"/>
      <c r="T94" s="359"/>
      <c r="U94" s="359"/>
      <c r="V94" s="359"/>
      <c r="W94" s="359"/>
      <c r="X94" s="359"/>
      <c r="Y94" s="359"/>
      <c r="Z94" s="1308"/>
      <c r="AB94" s="1305"/>
      <c r="AC94" s="359"/>
      <c r="AD94" s="359"/>
      <c r="AE94" s="359"/>
      <c r="AF94" s="359"/>
      <c r="AG94" s="359"/>
      <c r="AH94" s="359"/>
      <c r="AI94" s="359"/>
      <c r="AJ94" s="1247"/>
      <c r="AK94" s="359"/>
      <c r="AL94" s="1308"/>
      <c r="AN94" s="1305"/>
      <c r="AO94" s="359"/>
      <c r="AP94" s="359"/>
      <c r="AQ94" s="359"/>
      <c r="AR94" s="359"/>
      <c r="AS94" s="359"/>
      <c r="AT94" s="359"/>
      <c r="AU94" s="359"/>
      <c r="AV94" s="359"/>
      <c r="AW94" s="359"/>
      <c r="AX94" s="1308"/>
      <c r="AZ94" s="1305"/>
      <c r="BA94" s="359"/>
      <c r="BB94" s="359"/>
      <c r="BC94" s="359"/>
      <c r="BD94" s="359"/>
      <c r="BE94" s="359"/>
      <c r="BF94" s="359"/>
      <c r="BG94" s="359"/>
      <c r="BH94" s="359"/>
      <c r="BI94" s="359"/>
      <c r="BJ94" s="1308"/>
      <c r="BL94" s="1305"/>
      <c r="BM94" s="359"/>
      <c r="BN94" s="359"/>
      <c r="BO94" s="359"/>
      <c r="BP94" s="359"/>
      <c r="BQ94" s="359"/>
      <c r="BR94" s="359"/>
      <c r="BS94" s="359"/>
      <c r="BT94" s="359"/>
      <c r="BU94" s="359"/>
      <c r="BV94" s="1308"/>
    </row>
    <row r="95" spans="2:74" ht="21" x14ac:dyDescent="0.25">
      <c r="B95" s="1364"/>
      <c r="C95" s="1366"/>
      <c r="D95" s="1305"/>
      <c r="E95" s="360" t="str">
        <f>E87</f>
        <v>Demande mensuelle</v>
      </c>
      <c r="F95" s="360" t="s">
        <v>44</v>
      </c>
      <c r="G95" s="360" t="str">
        <f>G87</f>
        <v>Achalandage mensuel</v>
      </c>
      <c r="H95" s="360" t="s">
        <v>45</v>
      </c>
      <c r="I95" s="360" t="s">
        <v>46</v>
      </c>
      <c r="J95" s="360" t="str">
        <f>J87</f>
        <v>Um/A</v>
      </c>
      <c r="K95" s="360" t="s">
        <v>45</v>
      </c>
      <c r="L95" s="360" t="str">
        <f>L87</f>
        <v>PmO</v>
      </c>
      <c r="M95" s="360" t="s">
        <v>49</v>
      </c>
      <c r="N95" s="1308"/>
      <c r="P95" s="1305"/>
      <c r="Q95" s="360" t="str">
        <f>Q87</f>
        <v>Demande mensuelle</v>
      </c>
      <c r="R95" s="360" t="s">
        <v>44</v>
      </c>
      <c r="S95" s="360" t="str">
        <f>S87</f>
        <v>Achalandage mensuel</v>
      </c>
      <c r="T95" s="360" t="s">
        <v>45</v>
      </c>
      <c r="U95" s="360" t="s">
        <v>46</v>
      </c>
      <c r="V95" s="360" t="str">
        <f>V87</f>
        <v>Um/A</v>
      </c>
      <c r="W95" s="360" t="s">
        <v>45</v>
      </c>
      <c r="X95" s="360" t="str">
        <f>X87</f>
        <v>PmO</v>
      </c>
      <c r="Y95" s="360" t="s">
        <v>49</v>
      </c>
      <c r="Z95" s="1308"/>
      <c r="AB95" s="1305"/>
      <c r="AC95" s="360" t="str">
        <f>AC87</f>
        <v>Demande mensuelle</v>
      </c>
      <c r="AD95" s="360" t="s">
        <v>44</v>
      </c>
      <c r="AE95" s="360" t="str">
        <f>AE87</f>
        <v>Achalandage mensuel</v>
      </c>
      <c r="AF95" s="360" t="s">
        <v>45</v>
      </c>
      <c r="AG95" s="360" t="s">
        <v>46</v>
      </c>
      <c r="AH95" s="360" t="str">
        <f>AH87</f>
        <v>Um/A</v>
      </c>
      <c r="AI95" s="360" t="s">
        <v>45</v>
      </c>
      <c r="AJ95" s="360" t="str">
        <f>AJ87</f>
        <v>PmO</v>
      </c>
      <c r="AK95" s="360" t="s">
        <v>49</v>
      </c>
      <c r="AL95" s="1308"/>
      <c r="AN95" s="1305"/>
      <c r="AO95" s="360" t="str">
        <f>AO87</f>
        <v>Demande mensuelle</v>
      </c>
      <c r="AP95" s="360" t="s">
        <v>44</v>
      </c>
      <c r="AQ95" s="360" t="str">
        <f>AQ87</f>
        <v>Achalandage mensuel</v>
      </c>
      <c r="AR95" s="360" t="s">
        <v>45</v>
      </c>
      <c r="AS95" s="360" t="s">
        <v>46</v>
      </c>
      <c r="AT95" s="360" t="str">
        <f>AT87</f>
        <v>Um/A</v>
      </c>
      <c r="AU95" s="360" t="s">
        <v>45</v>
      </c>
      <c r="AV95" s="360" t="str">
        <f>AV87</f>
        <v>PmO</v>
      </c>
      <c r="AW95" s="360" t="s">
        <v>49</v>
      </c>
      <c r="AX95" s="1308"/>
      <c r="AZ95" s="1305"/>
      <c r="BA95" s="360" t="str">
        <f>BA87</f>
        <v>Coût mensuel</v>
      </c>
      <c r="BB95" s="360" t="s">
        <v>44</v>
      </c>
      <c r="BC95" s="360" t="str">
        <f>BC87</f>
        <v>Achalandage mensuel</v>
      </c>
      <c r="BD95" s="360" t="s">
        <v>45</v>
      </c>
      <c r="BE95" s="360" t="s">
        <v>46</v>
      </c>
      <c r="BF95" s="360" t="str">
        <f>BF87</f>
        <v>Um/A</v>
      </c>
      <c r="BG95" s="360" t="s">
        <v>45</v>
      </c>
      <c r="BH95" s="360" t="str">
        <f>BH87</f>
        <v>CmO</v>
      </c>
      <c r="BI95" s="360" t="s">
        <v>49</v>
      </c>
      <c r="BJ95" s="1308"/>
      <c r="BL95" s="1305"/>
      <c r="BM95" s="360" t="str">
        <f>BM87</f>
        <v>Bénéfice mensuel</v>
      </c>
      <c r="BN95" s="360" t="s">
        <v>44</v>
      </c>
      <c r="BO95" s="360" t="str">
        <f>BO87</f>
        <v>Achalandage mensuel</v>
      </c>
      <c r="BP95" s="360" t="s">
        <v>45</v>
      </c>
      <c r="BQ95" s="360" t="s">
        <v>46</v>
      </c>
      <c r="BR95" s="360" t="str">
        <f>BR87</f>
        <v>Um/A</v>
      </c>
      <c r="BS95" s="360" t="s">
        <v>45</v>
      </c>
      <c r="BT95" s="360" t="str">
        <f>BT87</f>
        <v>BmO</v>
      </c>
      <c r="BU95" s="360" t="s">
        <v>49</v>
      </c>
      <c r="BV95" s="1308"/>
    </row>
    <row r="96" spans="2:74" ht="19" x14ac:dyDescent="0.25">
      <c r="B96" s="1364"/>
      <c r="C96" s="1366"/>
      <c r="D96" s="1305"/>
      <c r="E96" s="361" t="s">
        <v>2</v>
      </c>
      <c r="F96" s="362"/>
      <c r="G96" s="361"/>
      <c r="H96" s="362"/>
      <c r="I96" s="362"/>
      <c r="J96" s="362"/>
      <c r="K96" s="362"/>
      <c r="L96" s="362"/>
      <c r="M96" s="362"/>
      <c r="N96" s="1308"/>
      <c r="P96" s="1305"/>
      <c r="Q96" s="361" t="s">
        <v>2</v>
      </c>
      <c r="R96" s="362"/>
      <c r="S96" s="361"/>
      <c r="T96" s="362"/>
      <c r="U96" s="362"/>
      <c r="V96" s="362"/>
      <c r="W96" s="362"/>
      <c r="X96" s="362"/>
      <c r="Y96" s="362"/>
      <c r="Z96" s="1308"/>
      <c r="AB96" s="1305"/>
      <c r="AC96" s="361" t="s">
        <v>2</v>
      </c>
      <c r="AD96" s="362"/>
      <c r="AE96" s="361"/>
      <c r="AF96" s="362"/>
      <c r="AG96" s="362"/>
      <c r="AH96" s="362"/>
      <c r="AI96" s="362"/>
      <c r="AJ96" s="1248"/>
      <c r="AK96" s="362"/>
      <c r="AL96" s="1308"/>
      <c r="AN96" s="1305"/>
      <c r="AO96" s="361" t="s">
        <v>2</v>
      </c>
      <c r="AP96" s="362"/>
      <c r="AQ96" s="361"/>
      <c r="AR96" s="362"/>
      <c r="AS96" s="362"/>
      <c r="AT96" s="362"/>
      <c r="AU96" s="362"/>
      <c r="AV96" s="362"/>
      <c r="AW96" s="362"/>
      <c r="AX96" s="1308"/>
      <c r="AZ96" s="1305"/>
      <c r="BA96" s="361" t="s">
        <v>2</v>
      </c>
      <c r="BB96" s="362"/>
      <c r="BC96" s="361"/>
      <c r="BD96" s="362"/>
      <c r="BE96" s="362"/>
      <c r="BF96" s="362"/>
      <c r="BG96" s="362"/>
      <c r="BH96" s="362"/>
      <c r="BI96" s="362"/>
      <c r="BJ96" s="1308"/>
      <c r="BL96" s="1305"/>
      <c r="BM96" s="361" t="s">
        <v>2</v>
      </c>
      <c r="BN96" s="362"/>
      <c r="BO96" s="361"/>
      <c r="BP96" s="362"/>
      <c r="BQ96" s="362"/>
      <c r="BR96" s="362"/>
      <c r="BS96" s="362"/>
      <c r="BT96" s="362"/>
      <c r="BU96" s="362"/>
      <c r="BV96" s="1308"/>
    </row>
    <row r="97" spans="2:74" ht="26" x14ac:dyDescent="0.3">
      <c r="B97" s="1364"/>
      <c r="C97" s="1366"/>
      <c r="D97" s="1305"/>
      <c r="E97" s="363" t="str">
        <f>E89</f>
        <v>D</v>
      </c>
      <c r="F97" s="364"/>
      <c r="G97" s="363" t="str">
        <f>G89</f>
        <v>A</v>
      </c>
      <c r="H97" s="364"/>
      <c r="I97" s="364"/>
      <c r="J97" s="363" t="str">
        <f>+J95</f>
        <v>Um/A</v>
      </c>
      <c r="K97" s="364"/>
      <c r="L97" s="363" t="str">
        <f>+L95</f>
        <v>PmO</v>
      </c>
      <c r="M97" s="364"/>
      <c r="N97" s="1308"/>
      <c r="P97" s="1305"/>
      <c r="Q97" s="363" t="str">
        <f>Q89</f>
        <v>D</v>
      </c>
      <c r="R97" s="364"/>
      <c r="S97" s="363" t="str">
        <f>S89</f>
        <v>A</v>
      </c>
      <c r="T97" s="364"/>
      <c r="U97" s="364"/>
      <c r="V97" s="363" t="str">
        <f>+V95</f>
        <v>Um/A</v>
      </c>
      <c r="W97" s="364"/>
      <c r="X97" s="363" t="str">
        <f>+X95</f>
        <v>PmO</v>
      </c>
      <c r="Y97" s="364"/>
      <c r="Z97" s="1308"/>
      <c r="AB97" s="1305"/>
      <c r="AC97" s="363" t="str">
        <f>AC89</f>
        <v>D</v>
      </c>
      <c r="AD97" s="364"/>
      <c r="AE97" s="363" t="str">
        <f>AE89</f>
        <v>A</v>
      </c>
      <c r="AF97" s="364"/>
      <c r="AG97" s="364"/>
      <c r="AH97" s="363" t="str">
        <f>+AH95</f>
        <v>Um/A</v>
      </c>
      <c r="AI97" s="364"/>
      <c r="AJ97" s="363" t="str">
        <f>+AJ95</f>
        <v>PmO</v>
      </c>
      <c r="AK97" s="364"/>
      <c r="AL97" s="1308"/>
      <c r="AN97" s="1305"/>
      <c r="AO97" s="363" t="str">
        <f>AO89</f>
        <v>D</v>
      </c>
      <c r="AP97" s="364"/>
      <c r="AQ97" s="363" t="str">
        <f>AQ89</f>
        <v>A</v>
      </c>
      <c r="AR97" s="364"/>
      <c r="AS97" s="364"/>
      <c r="AT97" s="363" t="str">
        <f>+AT95</f>
        <v>Um/A</v>
      </c>
      <c r="AU97" s="364"/>
      <c r="AV97" s="363" t="str">
        <f>+AV95</f>
        <v>PmO</v>
      </c>
      <c r="AW97" s="364"/>
      <c r="AX97" s="1308"/>
      <c r="AZ97" s="1305"/>
      <c r="BA97" s="363" t="str">
        <f>BA89</f>
        <v xml:space="preserve">C </v>
      </c>
      <c r="BB97" s="364"/>
      <c r="BC97" s="363" t="str">
        <f>BC89</f>
        <v>A</v>
      </c>
      <c r="BD97" s="364"/>
      <c r="BE97" s="364"/>
      <c r="BF97" s="363" t="str">
        <f>+BF95</f>
        <v>Um/A</v>
      </c>
      <c r="BG97" s="364"/>
      <c r="BH97" s="363" t="str">
        <f>+BH95</f>
        <v>CmO</v>
      </c>
      <c r="BI97" s="364"/>
      <c r="BJ97" s="1308"/>
      <c r="BL97" s="1305"/>
      <c r="BM97" s="363" t="str">
        <f>BM89</f>
        <v xml:space="preserve">B </v>
      </c>
      <c r="BN97" s="364"/>
      <c r="BO97" s="363" t="str">
        <f>BO89</f>
        <v>A</v>
      </c>
      <c r="BP97" s="364"/>
      <c r="BQ97" s="364"/>
      <c r="BR97" s="363" t="str">
        <f>+BR95</f>
        <v>Um/A</v>
      </c>
      <c r="BS97" s="364"/>
      <c r="BT97" s="363" t="str">
        <f>+BT95</f>
        <v>BmO</v>
      </c>
      <c r="BU97" s="364"/>
      <c r="BV97" s="1308"/>
    </row>
    <row r="98" spans="2:74" ht="21" x14ac:dyDescent="0.25">
      <c r="B98" s="1364"/>
      <c r="C98" s="1366"/>
      <c r="D98" s="1305"/>
      <c r="E98" s="337">
        <f>+Q98+AC98+AO98</f>
        <v>97471.23000000001</v>
      </c>
      <c r="F98" s="360" t="s">
        <v>44</v>
      </c>
      <c r="G98" s="338">
        <f>'% Occupation'!O19</f>
        <v>4572</v>
      </c>
      <c r="H98" s="360" t="s">
        <v>45</v>
      </c>
      <c r="I98" s="360" t="s">
        <v>46</v>
      </c>
      <c r="J98" s="339">
        <f>+V98+AH98+AT98</f>
        <v>3.3</v>
      </c>
      <c r="K98" s="360" t="s">
        <v>45</v>
      </c>
      <c r="L98" s="340">
        <f>E98/G98/J98</f>
        <v>6.4603535353535362</v>
      </c>
      <c r="M98" s="360" t="s">
        <v>49</v>
      </c>
      <c r="N98" s="1308"/>
      <c r="P98" s="1305"/>
      <c r="Q98" s="337">
        <f>+S98*(V98*X98)</f>
        <v>47346.87000000001</v>
      </c>
      <c r="R98" s="360" t="s">
        <v>44</v>
      </c>
      <c r="S98" s="338">
        <f>G98</f>
        <v>4572</v>
      </c>
      <c r="T98" s="360" t="s">
        <v>45</v>
      </c>
      <c r="U98" s="360" t="s">
        <v>46</v>
      </c>
      <c r="V98" s="375">
        <f>+V90</f>
        <v>2.15</v>
      </c>
      <c r="W98" s="360" t="s">
        <v>45</v>
      </c>
      <c r="X98" s="1083">
        <f>'Calcul CmO et PmO'!F494</f>
        <v>4.8166666666666673</v>
      </c>
      <c r="Y98" s="360" t="s">
        <v>49</v>
      </c>
      <c r="Z98" s="1308"/>
      <c r="AB98" s="1305"/>
      <c r="AC98" s="337">
        <f>+AE98*(AH98*AJ98)</f>
        <v>50124.36</v>
      </c>
      <c r="AD98" s="360" t="s">
        <v>44</v>
      </c>
      <c r="AE98" s="338">
        <f>S98</f>
        <v>4572</v>
      </c>
      <c r="AF98" s="360" t="s">
        <v>45</v>
      </c>
      <c r="AG98" s="360" t="s">
        <v>46</v>
      </c>
      <c r="AH98" s="375">
        <f>AH90</f>
        <v>1.1499999999999999</v>
      </c>
      <c r="AI98" s="360" t="s">
        <v>45</v>
      </c>
      <c r="AJ98" s="1235">
        <f>'Calcul CmO et PmO'!F509</f>
        <v>9.5333333333333332</v>
      </c>
      <c r="AK98" s="360" t="s">
        <v>49</v>
      </c>
      <c r="AL98" s="1308"/>
      <c r="AN98" s="1305"/>
      <c r="AO98" s="337">
        <f>+AQ98*(AT98*AV98)</f>
        <v>0</v>
      </c>
      <c r="AP98" s="360" t="s">
        <v>44</v>
      </c>
      <c r="AQ98" s="338">
        <f>AE98</f>
        <v>4572</v>
      </c>
      <c r="AR98" s="360" t="s">
        <v>45</v>
      </c>
      <c r="AS98" s="360" t="s">
        <v>46</v>
      </c>
      <c r="AT98" s="375">
        <f>AT90</f>
        <v>0</v>
      </c>
      <c r="AU98" s="360" t="s">
        <v>45</v>
      </c>
      <c r="AV98" s="376">
        <f>AV90</f>
        <v>0</v>
      </c>
      <c r="AW98" s="360" t="s">
        <v>49</v>
      </c>
      <c r="AX98" s="1308"/>
      <c r="AZ98" s="1305"/>
      <c r="BA98" s="337">
        <f>'État des Résultats'!AL14-'État des Résultats'!AL45</f>
        <v>89755.734740489381</v>
      </c>
      <c r="BB98" s="360" t="s">
        <v>44</v>
      </c>
      <c r="BC98" s="338">
        <f>G98</f>
        <v>4572</v>
      </c>
      <c r="BD98" s="360" t="s">
        <v>45</v>
      </c>
      <c r="BE98" s="360" t="s">
        <v>46</v>
      </c>
      <c r="BF98" s="339">
        <f>J98</f>
        <v>3.3</v>
      </c>
      <c r="BG98" s="360" t="s">
        <v>45</v>
      </c>
      <c r="BH98" s="340">
        <f>BA98/BC98/BF98</f>
        <v>5.9489736432891505</v>
      </c>
      <c r="BI98" s="360" t="s">
        <v>49</v>
      </c>
      <c r="BJ98" s="1308"/>
      <c r="BL98" s="1305"/>
      <c r="BM98" s="337">
        <f>'État des Résultats'!AL45</f>
        <v>7715.4952595106315</v>
      </c>
      <c r="BN98" s="360" t="s">
        <v>44</v>
      </c>
      <c r="BO98" s="338">
        <f>G98</f>
        <v>4572</v>
      </c>
      <c r="BP98" s="360" t="s">
        <v>45</v>
      </c>
      <c r="BQ98" s="360" t="s">
        <v>46</v>
      </c>
      <c r="BR98" s="339">
        <f>J98</f>
        <v>3.3</v>
      </c>
      <c r="BS98" s="360" t="s">
        <v>45</v>
      </c>
      <c r="BT98" s="340">
        <f>BM98/BO98/BR98</f>
        <v>0.51137989206438617</v>
      </c>
      <c r="BU98" s="360" t="s">
        <v>49</v>
      </c>
      <c r="BV98" s="1308"/>
    </row>
    <row r="99" spans="2:74" ht="17" thickBot="1" x14ac:dyDescent="0.25">
      <c r="B99" s="1365"/>
      <c r="C99" s="1366"/>
      <c r="D99" s="1306"/>
      <c r="E99" s="365"/>
      <c r="F99" s="365"/>
      <c r="G99" s="365"/>
      <c r="H99" s="365"/>
      <c r="I99" s="365"/>
      <c r="J99" s="365"/>
      <c r="K99" s="365"/>
      <c r="L99" s="365"/>
      <c r="M99" s="365"/>
      <c r="N99" s="1309"/>
      <c r="P99" s="1306"/>
      <c r="Q99" s="365"/>
      <c r="R99" s="365"/>
      <c r="S99" s="365"/>
      <c r="T99" s="365"/>
      <c r="U99" s="365"/>
      <c r="V99" s="365"/>
      <c r="W99" s="365"/>
      <c r="X99" s="365"/>
      <c r="Y99" s="365"/>
      <c r="Z99" s="1309"/>
      <c r="AB99" s="1306"/>
      <c r="AC99" s="365"/>
      <c r="AD99" s="365"/>
      <c r="AE99" s="365"/>
      <c r="AF99" s="365"/>
      <c r="AG99" s="365"/>
      <c r="AH99" s="365"/>
      <c r="AI99" s="365"/>
      <c r="AJ99" s="365"/>
      <c r="AK99" s="365"/>
      <c r="AL99" s="1309"/>
      <c r="AN99" s="1306"/>
      <c r="AO99" s="365"/>
      <c r="AP99" s="365"/>
      <c r="AQ99" s="365"/>
      <c r="AR99" s="365"/>
      <c r="AS99" s="365"/>
      <c r="AT99" s="365"/>
      <c r="AU99" s="365"/>
      <c r="AV99" s="365"/>
      <c r="AW99" s="365"/>
      <c r="AX99" s="1309"/>
      <c r="AZ99" s="1306"/>
      <c r="BA99" s="365"/>
      <c r="BB99" s="365"/>
      <c r="BC99" s="365"/>
      <c r="BD99" s="365"/>
      <c r="BE99" s="365"/>
      <c r="BF99" s="365"/>
      <c r="BG99" s="365"/>
      <c r="BH99" s="365"/>
      <c r="BI99" s="365"/>
      <c r="BJ99" s="1309"/>
      <c r="BL99" s="1306"/>
      <c r="BM99" s="365"/>
      <c r="BN99" s="365"/>
      <c r="BO99" s="365"/>
      <c r="BP99" s="365"/>
      <c r="BQ99" s="365"/>
      <c r="BR99" s="365"/>
      <c r="BS99" s="365"/>
      <c r="BT99" s="365"/>
      <c r="BU99" s="365"/>
      <c r="BV99" s="1309"/>
    </row>
    <row r="100" spans="2:74" ht="10" customHeight="1" thickBot="1" x14ac:dyDescent="0.2">
      <c r="C100" s="209"/>
    </row>
    <row r="101" spans="2:74" ht="17" thickTop="1" x14ac:dyDescent="0.2">
      <c r="B101" s="1345" t="s">
        <v>193</v>
      </c>
      <c r="C101" s="1355" t="s">
        <v>193</v>
      </c>
      <c r="D101" s="1328" t="s">
        <v>42</v>
      </c>
      <c r="E101" s="366"/>
      <c r="F101" s="366"/>
      <c r="G101" s="366"/>
      <c r="H101" s="366"/>
      <c r="I101" s="366"/>
      <c r="J101" s="366"/>
      <c r="K101" s="366"/>
      <c r="L101" s="366"/>
      <c r="M101" s="366"/>
      <c r="N101" s="1331" t="s">
        <v>43</v>
      </c>
      <c r="P101" s="1328" t="s">
        <v>42</v>
      </c>
      <c r="Q101" s="366"/>
      <c r="R101" s="366"/>
      <c r="S101" s="366"/>
      <c r="T101" s="366"/>
      <c r="U101" s="366"/>
      <c r="V101" s="366"/>
      <c r="W101" s="366"/>
      <c r="X101" s="366"/>
      <c r="Y101" s="366"/>
      <c r="Z101" s="1331" t="s">
        <v>43</v>
      </c>
      <c r="AB101" s="1328" t="s">
        <v>42</v>
      </c>
      <c r="AC101" s="366"/>
      <c r="AD101" s="366"/>
      <c r="AE101" s="366"/>
      <c r="AF101" s="366"/>
      <c r="AG101" s="366"/>
      <c r="AH101" s="366"/>
      <c r="AI101" s="366"/>
      <c r="AJ101" s="366"/>
      <c r="AK101" s="366"/>
      <c r="AL101" s="1331" t="s">
        <v>43</v>
      </c>
      <c r="AN101" s="1328" t="s">
        <v>42</v>
      </c>
      <c r="AO101" s="366"/>
      <c r="AP101" s="366"/>
      <c r="AQ101" s="366"/>
      <c r="AR101" s="366"/>
      <c r="AS101" s="366"/>
      <c r="AT101" s="366"/>
      <c r="AU101" s="366"/>
      <c r="AV101" s="366"/>
      <c r="AW101" s="366"/>
      <c r="AX101" s="1331" t="s">
        <v>43</v>
      </c>
      <c r="AZ101" s="1328" t="s">
        <v>42</v>
      </c>
      <c r="BA101" s="366"/>
      <c r="BB101" s="366"/>
      <c r="BC101" s="366"/>
      <c r="BD101" s="366"/>
      <c r="BE101" s="366"/>
      <c r="BF101" s="366"/>
      <c r="BG101" s="366"/>
      <c r="BH101" s="366"/>
      <c r="BI101" s="366"/>
      <c r="BJ101" s="1331" t="s">
        <v>43</v>
      </c>
      <c r="BL101" s="1328" t="s">
        <v>42</v>
      </c>
      <c r="BM101" s="366"/>
      <c r="BN101" s="366"/>
      <c r="BO101" s="366"/>
      <c r="BP101" s="366"/>
      <c r="BQ101" s="366"/>
      <c r="BR101" s="366"/>
      <c r="BS101" s="366"/>
      <c r="BT101" s="366"/>
      <c r="BU101" s="366"/>
      <c r="BV101" s="1331" t="s">
        <v>43</v>
      </c>
    </row>
    <row r="102" spans="2:74" ht="16" x14ac:dyDescent="0.2">
      <c r="B102" s="1346"/>
      <c r="C102" s="1355"/>
      <c r="D102" s="1329"/>
      <c r="E102" s="367"/>
      <c r="F102" s="367"/>
      <c r="G102" s="367"/>
      <c r="H102" s="367"/>
      <c r="I102" s="367"/>
      <c r="J102" s="367"/>
      <c r="K102" s="367"/>
      <c r="L102" s="367"/>
      <c r="M102" s="367"/>
      <c r="N102" s="1332"/>
      <c r="P102" s="1329"/>
      <c r="Q102" s="367"/>
      <c r="R102" s="367"/>
      <c r="S102" s="367"/>
      <c r="T102" s="367"/>
      <c r="U102" s="367"/>
      <c r="V102" s="367"/>
      <c r="W102" s="367"/>
      <c r="X102" s="367"/>
      <c r="Y102" s="367"/>
      <c r="Z102" s="1332"/>
      <c r="AB102" s="1329"/>
      <c r="AC102" s="367"/>
      <c r="AD102" s="367"/>
      <c r="AE102" s="367"/>
      <c r="AF102" s="367"/>
      <c r="AG102" s="367"/>
      <c r="AH102" s="367"/>
      <c r="AI102" s="367"/>
      <c r="AJ102" s="367"/>
      <c r="AK102" s="367"/>
      <c r="AL102" s="1332"/>
      <c r="AN102" s="1329"/>
      <c r="AO102" s="367"/>
      <c r="AP102" s="367"/>
      <c r="AQ102" s="367"/>
      <c r="AR102" s="367"/>
      <c r="AS102" s="367"/>
      <c r="AT102" s="367"/>
      <c r="AU102" s="367"/>
      <c r="AV102" s="367"/>
      <c r="AW102" s="367"/>
      <c r="AX102" s="1332"/>
      <c r="AZ102" s="1329"/>
      <c r="BA102" s="367"/>
      <c r="BB102" s="367"/>
      <c r="BC102" s="367"/>
      <c r="BD102" s="367"/>
      <c r="BE102" s="367"/>
      <c r="BF102" s="367"/>
      <c r="BG102" s="367"/>
      <c r="BH102" s="367"/>
      <c r="BI102" s="367"/>
      <c r="BJ102" s="1332"/>
      <c r="BL102" s="1329"/>
      <c r="BM102" s="367"/>
      <c r="BN102" s="367"/>
      <c r="BO102" s="367"/>
      <c r="BP102" s="367"/>
      <c r="BQ102" s="367"/>
      <c r="BR102" s="367"/>
      <c r="BS102" s="367"/>
      <c r="BT102" s="367"/>
      <c r="BU102" s="367"/>
      <c r="BV102" s="1332"/>
    </row>
    <row r="103" spans="2:74" ht="21" x14ac:dyDescent="0.25">
      <c r="B103" s="1346"/>
      <c r="C103" s="1355"/>
      <c r="D103" s="1329"/>
      <c r="E103" s="368" t="str">
        <f>E95</f>
        <v>Demande mensuelle</v>
      </c>
      <c r="F103" s="368" t="s">
        <v>44</v>
      </c>
      <c r="G103" s="368" t="s">
        <v>164</v>
      </c>
      <c r="H103" s="368" t="s">
        <v>45</v>
      </c>
      <c r="I103" s="368" t="s">
        <v>46</v>
      </c>
      <c r="J103" s="368" t="str">
        <f>J95</f>
        <v>Um/A</v>
      </c>
      <c r="K103" s="368" t="s">
        <v>45</v>
      </c>
      <c r="L103" s="368" t="str">
        <f>L95</f>
        <v>PmO</v>
      </c>
      <c r="M103" s="368" t="s">
        <v>49</v>
      </c>
      <c r="N103" s="1332"/>
      <c r="P103" s="1329"/>
      <c r="Q103" s="368" t="str">
        <f>E103</f>
        <v>Demande mensuelle</v>
      </c>
      <c r="R103" s="368" t="s">
        <v>44</v>
      </c>
      <c r="S103" s="368" t="str">
        <f>G103</f>
        <v>Achalandage annuelle</v>
      </c>
      <c r="T103" s="368" t="s">
        <v>45</v>
      </c>
      <c r="U103" s="368" t="s">
        <v>46</v>
      </c>
      <c r="V103" s="368" t="str">
        <f>J103</f>
        <v>Um/A</v>
      </c>
      <c r="W103" s="368" t="s">
        <v>45</v>
      </c>
      <c r="X103" s="368" t="str">
        <f>L103</f>
        <v>PmO</v>
      </c>
      <c r="Y103" s="368" t="s">
        <v>49</v>
      </c>
      <c r="Z103" s="1332"/>
      <c r="AB103" s="1329"/>
      <c r="AC103" s="368" t="str">
        <f>AC95</f>
        <v>Demande mensuelle</v>
      </c>
      <c r="AD103" s="368" t="s">
        <v>44</v>
      </c>
      <c r="AE103" s="368" t="str">
        <f>S103</f>
        <v>Achalandage annuelle</v>
      </c>
      <c r="AF103" s="368" t="s">
        <v>45</v>
      </c>
      <c r="AG103" s="368" t="s">
        <v>46</v>
      </c>
      <c r="AH103" s="368" t="str">
        <f>V103</f>
        <v>Um/A</v>
      </c>
      <c r="AI103" s="368" t="s">
        <v>45</v>
      </c>
      <c r="AJ103" s="368" t="str">
        <f>X103</f>
        <v>PmO</v>
      </c>
      <c r="AK103" s="368" t="s">
        <v>49</v>
      </c>
      <c r="AL103" s="1332"/>
      <c r="AN103" s="1329"/>
      <c r="AO103" s="368" t="str">
        <f>AC103</f>
        <v>Demande mensuelle</v>
      </c>
      <c r="AP103" s="368" t="s">
        <v>44</v>
      </c>
      <c r="AQ103" s="368" t="str">
        <f>AE103</f>
        <v>Achalandage annuelle</v>
      </c>
      <c r="AR103" s="368" t="s">
        <v>45</v>
      </c>
      <c r="AS103" s="368" t="s">
        <v>46</v>
      </c>
      <c r="AT103" s="368" t="str">
        <f>AH103</f>
        <v>Um/A</v>
      </c>
      <c r="AU103" s="368" t="s">
        <v>45</v>
      </c>
      <c r="AV103" s="368" t="str">
        <f>AJ103</f>
        <v>PmO</v>
      </c>
      <c r="AW103" s="368" t="s">
        <v>49</v>
      </c>
      <c r="AX103" s="1332"/>
      <c r="AZ103" s="1329"/>
      <c r="BA103" s="368" t="s">
        <v>230</v>
      </c>
      <c r="BB103" s="368" t="s">
        <v>44</v>
      </c>
      <c r="BC103" s="368" t="s">
        <v>164</v>
      </c>
      <c r="BD103" s="368" t="s">
        <v>45</v>
      </c>
      <c r="BE103" s="368" t="s">
        <v>46</v>
      </c>
      <c r="BF103" s="368" t="str">
        <f>AT103</f>
        <v>Um/A</v>
      </c>
      <c r="BG103" s="368" t="s">
        <v>45</v>
      </c>
      <c r="BH103" s="368" t="s">
        <v>232</v>
      </c>
      <c r="BI103" s="368" t="s">
        <v>49</v>
      </c>
      <c r="BJ103" s="1332"/>
      <c r="BL103" s="1329"/>
      <c r="BM103" s="368" t="s">
        <v>235</v>
      </c>
      <c r="BN103" s="368" t="s">
        <v>44</v>
      </c>
      <c r="BO103" s="368" t="str">
        <f>BC103</f>
        <v>Achalandage annuelle</v>
      </c>
      <c r="BP103" s="368" t="s">
        <v>45</v>
      </c>
      <c r="BQ103" s="368" t="s">
        <v>46</v>
      </c>
      <c r="BR103" s="368" t="str">
        <f>BF103</f>
        <v>Um/A</v>
      </c>
      <c r="BS103" s="368" t="s">
        <v>45</v>
      </c>
      <c r="BT103" s="368" t="s">
        <v>236</v>
      </c>
      <c r="BU103" s="368" t="s">
        <v>49</v>
      </c>
      <c r="BV103" s="1332"/>
    </row>
    <row r="104" spans="2:74" ht="19" x14ac:dyDescent="0.25">
      <c r="B104" s="1346"/>
      <c r="C104" s="1355"/>
      <c r="D104" s="1329"/>
      <c r="E104" s="369" t="s">
        <v>2</v>
      </c>
      <c r="F104" s="370"/>
      <c r="G104" s="369"/>
      <c r="H104" s="370"/>
      <c r="I104" s="370"/>
      <c r="J104" s="370"/>
      <c r="K104" s="370"/>
      <c r="L104" s="370"/>
      <c r="M104" s="370"/>
      <c r="N104" s="1332"/>
      <c r="P104" s="1329"/>
      <c r="Q104" s="369" t="s">
        <v>2</v>
      </c>
      <c r="R104" s="370"/>
      <c r="S104" s="369"/>
      <c r="T104" s="370"/>
      <c r="U104" s="370"/>
      <c r="V104" s="370"/>
      <c r="W104" s="370"/>
      <c r="X104" s="370"/>
      <c r="Y104" s="370"/>
      <c r="Z104" s="1332"/>
      <c r="AB104" s="1329"/>
      <c r="AC104" s="369" t="s">
        <v>2</v>
      </c>
      <c r="AD104" s="370"/>
      <c r="AE104" s="369"/>
      <c r="AF104" s="370"/>
      <c r="AG104" s="370"/>
      <c r="AH104" s="370"/>
      <c r="AI104" s="370"/>
      <c r="AJ104" s="370"/>
      <c r="AK104" s="370"/>
      <c r="AL104" s="1332"/>
      <c r="AN104" s="1329"/>
      <c r="AO104" s="369" t="s">
        <v>2</v>
      </c>
      <c r="AP104" s="370"/>
      <c r="AQ104" s="369"/>
      <c r="AR104" s="370"/>
      <c r="AS104" s="370"/>
      <c r="AT104" s="370"/>
      <c r="AU104" s="370"/>
      <c r="AV104" s="370"/>
      <c r="AW104" s="370"/>
      <c r="AX104" s="1332"/>
      <c r="AZ104" s="1329"/>
      <c r="BA104" s="369" t="s">
        <v>2</v>
      </c>
      <c r="BB104" s="370"/>
      <c r="BC104" s="369"/>
      <c r="BD104" s="370"/>
      <c r="BE104" s="370"/>
      <c r="BF104" s="370"/>
      <c r="BG104" s="370"/>
      <c r="BH104" s="370"/>
      <c r="BI104" s="370"/>
      <c r="BJ104" s="1332"/>
      <c r="BL104" s="1329"/>
      <c r="BM104" s="369" t="s">
        <v>2</v>
      </c>
      <c r="BN104" s="370"/>
      <c r="BO104" s="369"/>
      <c r="BP104" s="370"/>
      <c r="BQ104" s="370"/>
      <c r="BR104" s="370"/>
      <c r="BS104" s="370"/>
      <c r="BT104" s="370"/>
      <c r="BU104" s="370"/>
      <c r="BV104" s="1332"/>
    </row>
    <row r="105" spans="2:74" ht="26" x14ac:dyDescent="0.3">
      <c r="B105" s="1346"/>
      <c r="C105" s="1355"/>
      <c r="D105" s="1329"/>
      <c r="E105" s="371" t="str">
        <f>E97</f>
        <v>D</v>
      </c>
      <c r="F105" s="372"/>
      <c r="G105" s="371" t="str">
        <f>G97</f>
        <v>A</v>
      </c>
      <c r="H105" s="372"/>
      <c r="I105" s="372"/>
      <c r="J105" s="371" t="str">
        <f>J103</f>
        <v>Um/A</v>
      </c>
      <c r="K105" s="372"/>
      <c r="L105" s="371" t="str">
        <f>L103</f>
        <v>PmO</v>
      </c>
      <c r="M105" s="372"/>
      <c r="N105" s="1332"/>
      <c r="P105" s="1329"/>
      <c r="Q105" s="371" t="str">
        <f>E105</f>
        <v>D</v>
      </c>
      <c r="R105" s="372"/>
      <c r="S105" s="371" t="str">
        <f>G105</f>
        <v>A</v>
      </c>
      <c r="T105" s="372"/>
      <c r="U105" s="372"/>
      <c r="V105" s="371" t="str">
        <f>V103</f>
        <v>Um/A</v>
      </c>
      <c r="W105" s="372"/>
      <c r="X105" s="371" t="str">
        <f>X103</f>
        <v>PmO</v>
      </c>
      <c r="Y105" s="372"/>
      <c r="Z105" s="1332"/>
      <c r="AB105" s="1329"/>
      <c r="AC105" s="371" t="str">
        <f>AC97</f>
        <v>D</v>
      </c>
      <c r="AD105" s="372"/>
      <c r="AE105" s="371" t="str">
        <f>S105</f>
        <v>A</v>
      </c>
      <c r="AF105" s="372"/>
      <c r="AG105" s="372"/>
      <c r="AH105" s="371" t="str">
        <f>AH103</f>
        <v>Um/A</v>
      </c>
      <c r="AI105" s="372"/>
      <c r="AJ105" s="371" t="str">
        <f>AJ103</f>
        <v>PmO</v>
      </c>
      <c r="AK105" s="372"/>
      <c r="AL105" s="1332"/>
      <c r="AN105" s="1329"/>
      <c r="AO105" s="371" t="str">
        <f>AC105</f>
        <v>D</v>
      </c>
      <c r="AP105" s="372"/>
      <c r="AQ105" s="371" t="str">
        <f>AE105</f>
        <v>A</v>
      </c>
      <c r="AR105" s="372"/>
      <c r="AS105" s="372"/>
      <c r="AT105" s="371" t="str">
        <f>AT103</f>
        <v>Um/A</v>
      </c>
      <c r="AU105" s="372"/>
      <c r="AV105" s="371" t="str">
        <f>AV103</f>
        <v>PmO</v>
      </c>
      <c r="AW105" s="372"/>
      <c r="AX105" s="1332"/>
      <c r="AZ105" s="1329"/>
      <c r="BA105" s="371" t="s">
        <v>233</v>
      </c>
      <c r="BB105" s="372"/>
      <c r="BC105" s="371" t="s">
        <v>50</v>
      </c>
      <c r="BD105" s="372"/>
      <c r="BE105" s="372"/>
      <c r="BF105" s="371" t="str">
        <f>BF103</f>
        <v>Um/A</v>
      </c>
      <c r="BG105" s="372"/>
      <c r="BH105" s="371" t="str">
        <f>+BH103</f>
        <v>CmO</v>
      </c>
      <c r="BI105" s="372"/>
      <c r="BJ105" s="1332"/>
      <c r="BL105" s="1329"/>
      <c r="BM105" s="371" t="s">
        <v>234</v>
      </c>
      <c r="BN105" s="372"/>
      <c r="BO105" s="371" t="str">
        <f>BC105</f>
        <v>A</v>
      </c>
      <c r="BP105" s="372"/>
      <c r="BQ105" s="372"/>
      <c r="BR105" s="371" t="str">
        <f>BR103</f>
        <v>Um/A</v>
      </c>
      <c r="BS105" s="372"/>
      <c r="BT105" s="371" t="str">
        <f>+BT103</f>
        <v>BmO</v>
      </c>
      <c r="BU105" s="372"/>
      <c r="BV105" s="1332"/>
    </row>
    <row r="106" spans="2:74" ht="21" x14ac:dyDescent="0.25">
      <c r="B106" s="1346"/>
      <c r="C106" s="1355"/>
      <c r="D106" s="1329"/>
      <c r="E106" s="337">
        <f>+Q106+AC106+AO106</f>
        <v>1054528.0191666668</v>
      </c>
      <c r="F106" s="368" t="s">
        <v>44</v>
      </c>
      <c r="G106" s="338">
        <f>+G10+G18+G26+G34+G42+G50+G58+G66+G74+G82+G90+G98</f>
        <v>52000</v>
      </c>
      <c r="H106" s="368" t="s">
        <v>45</v>
      </c>
      <c r="I106" s="368" t="s">
        <v>46</v>
      </c>
      <c r="J106" s="339">
        <f>+V106+AH106+AT106</f>
        <v>3.1499999999999995</v>
      </c>
      <c r="K106" s="368" t="s">
        <v>45</v>
      </c>
      <c r="L106" s="1083">
        <f>E106/G106/J106</f>
        <v>6.4378999949124962</v>
      </c>
      <c r="M106" s="368" t="s">
        <v>49</v>
      </c>
      <c r="N106" s="1332"/>
      <c r="P106" s="1329"/>
      <c r="Q106" s="377">
        <f>+Q10+Q18+Q26+Q34+Q42+Q50+Q58+Q66+Q74+Q82+Q90+Q98</f>
        <v>520354.85583333339</v>
      </c>
      <c r="R106" s="368" t="s">
        <v>44</v>
      </c>
      <c r="S106" s="338">
        <f>+S10+S18+S26+S34+S42+S50+S58+S66+S74+S82+S90+S98</f>
        <v>52000</v>
      </c>
      <c r="T106" s="368" t="s">
        <v>45</v>
      </c>
      <c r="U106" s="368" t="s">
        <v>46</v>
      </c>
      <c r="V106" s="339">
        <f>+(V10+V18+V26+V34+V42+V50+V58+V66+V74+V82+V90+V98)/12</f>
        <v>2.0749999999999997</v>
      </c>
      <c r="W106" s="368" t="s">
        <v>45</v>
      </c>
      <c r="X106" s="1083">
        <f>Q106/S106/V106</f>
        <v>4.8225658557306161</v>
      </c>
      <c r="Y106" s="368" t="s">
        <v>49</v>
      </c>
      <c r="Z106" s="1332"/>
      <c r="AB106" s="1329"/>
      <c r="AC106" s="377">
        <f>+AC10+AC18+AC26+AC34+AC42+AC50+AC58+AC66+AC74+AC82+AC90+AC98</f>
        <v>534173.16333333345</v>
      </c>
      <c r="AD106" s="368" t="s">
        <v>44</v>
      </c>
      <c r="AE106" s="338">
        <f>+AE10+AE18+AE26+AE34+AE42+AE50+AE58+AE66+AE74+AE82+AE90+AE98</f>
        <v>52000</v>
      </c>
      <c r="AF106" s="368" t="s">
        <v>45</v>
      </c>
      <c r="AG106" s="368" t="s">
        <v>46</v>
      </c>
      <c r="AH106" s="339">
        <f>+(AH10+AH18+AH26+AH34+AH42+AH50+AH58+AH66+AH74+AH82+AH90+AH98)/12</f>
        <v>1.075</v>
      </c>
      <c r="AI106" s="368" t="s">
        <v>45</v>
      </c>
      <c r="AJ106" s="1083">
        <f>AC106/AE106/AH106</f>
        <v>9.5558705426356614</v>
      </c>
      <c r="AK106" s="368" t="s">
        <v>49</v>
      </c>
      <c r="AL106" s="1332"/>
      <c r="AN106" s="1329"/>
      <c r="AO106" s="377">
        <f>+AO10+AO18+AO26+AO34+AO42+AO50+AO58+AO66+AO74+AO82+AO90+AO98</f>
        <v>0</v>
      </c>
      <c r="AP106" s="368" t="s">
        <v>44</v>
      </c>
      <c r="AQ106" s="338">
        <f>+AQ10+AQ18+AQ26+AQ34+AQ42+AQ50+AQ58+AQ66+AQ74+AQ82+AQ90+AQ98</f>
        <v>52000</v>
      </c>
      <c r="AR106" s="368" t="s">
        <v>45</v>
      </c>
      <c r="AS106" s="368" t="s">
        <v>46</v>
      </c>
      <c r="AT106" s="339">
        <f>+(AT10+AT18+AT26+AT34+AT42+AT50+AT58+AT66+AT74+AT82+AT90+AT98)/12</f>
        <v>0</v>
      </c>
      <c r="AU106" s="368" t="s">
        <v>45</v>
      </c>
      <c r="AV106" s="340" t="e">
        <f>AO106/AQ106/AT106</f>
        <v>#DIV/0!</v>
      </c>
      <c r="AW106" s="368" t="s">
        <v>49</v>
      </c>
      <c r="AX106" s="1332"/>
      <c r="AZ106" s="1329"/>
      <c r="BA106" s="377">
        <f>+('État des Résultats'!AP14-'État des Résultats'!AP45)</f>
        <v>984274.60462904826</v>
      </c>
      <c r="BB106" s="368" t="s">
        <v>44</v>
      </c>
      <c r="BC106" s="338">
        <f>G106</f>
        <v>52000</v>
      </c>
      <c r="BD106" s="368" t="s">
        <v>45</v>
      </c>
      <c r="BE106" s="368" t="s">
        <v>46</v>
      </c>
      <c r="BF106" s="339">
        <f>J106</f>
        <v>3.1499999999999995</v>
      </c>
      <c r="BG106" s="368" t="s">
        <v>45</v>
      </c>
      <c r="BH106" s="340">
        <f>BA106/BC106/BF106</f>
        <v>6.0090024702628106</v>
      </c>
      <c r="BI106" s="368" t="s">
        <v>49</v>
      </c>
      <c r="BJ106" s="1332"/>
      <c r="BL106" s="1329"/>
      <c r="BM106" s="377">
        <f>'État des Résultats'!AP45</f>
        <v>70253.414537618257</v>
      </c>
      <c r="BN106" s="368" t="s">
        <v>44</v>
      </c>
      <c r="BO106" s="338">
        <f>S106</f>
        <v>52000</v>
      </c>
      <c r="BP106" s="368" t="s">
        <v>45</v>
      </c>
      <c r="BQ106" s="368" t="s">
        <v>46</v>
      </c>
      <c r="BR106" s="339">
        <f>J106</f>
        <v>3.1499999999999995</v>
      </c>
      <c r="BS106" s="368" t="s">
        <v>45</v>
      </c>
      <c r="BT106" s="340">
        <f>BM106/BO106/BR106</f>
        <v>0.42889752464968417</v>
      </c>
      <c r="BU106" s="368" t="s">
        <v>49</v>
      </c>
      <c r="BV106" s="1332"/>
    </row>
    <row r="107" spans="2:74" ht="17" thickBot="1" x14ac:dyDescent="0.25">
      <c r="B107" s="1346"/>
      <c r="C107" s="1355"/>
      <c r="D107" s="1330"/>
      <c r="E107" s="373"/>
      <c r="F107" s="373"/>
      <c r="G107" s="373"/>
      <c r="H107" s="373"/>
      <c r="I107" s="373"/>
      <c r="J107" s="373"/>
      <c r="K107" s="373"/>
      <c r="L107" s="373"/>
      <c r="M107" s="373"/>
      <c r="N107" s="1333"/>
      <c r="P107" s="1330"/>
      <c r="Q107" s="373"/>
      <c r="R107" s="373"/>
      <c r="S107" s="373"/>
      <c r="T107" s="373"/>
      <c r="U107" s="373"/>
      <c r="V107" s="373"/>
      <c r="W107" s="373"/>
      <c r="X107" s="373"/>
      <c r="Y107" s="373"/>
      <c r="Z107" s="1333"/>
      <c r="AB107" s="1330"/>
      <c r="AC107" s="373"/>
      <c r="AD107" s="373"/>
      <c r="AE107" s="373"/>
      <c r="AF107" s="373"/>
      <c r="AG107" s="373"/>
      <c r="AH107" s="373"/>
      <c r="AI107" s="373"/>
      <c r="AJ107" s="373"/>
      <c r="AK107" s="373"/>
      <c r="AL107" s="1333"/>
      <c r="AN107" s="1330"/>
      <c r="AO107" s="373"/>
      <c r="AP107" s="373"/>
      <c r="AQ107" s="373"/>
      <c r="AR107" s="373"/>
      <c r="AS107" s="373"/>
      <c r="AT107" s="373"/>
      <c r="AU107" s="373"/>
      <c r="AV107" s="373"/>
      <c r="AW107" s="373"/>
      <c r="AX107" s="1333"/>
      <c r="AZ107" s="1330"/>
      <c r="BA107" s="373"/>
      <c r="BB107" s="373"/>
      <c r="BC107" s="373"/>
      <c r="BD107" s="373"/>
      <c r="BE107" s="373"/>
      <c r="BF107" s="373"/>
      <c r="BG107" s="373"/>
      <c r="BH107" s="373"/>
      <c r="BI107" s="373"/>
      <c r="BJ107" s="1333"/>
      <c r="BL107" s="1330"/>
      <c r="BM107" s="373"/>
      <c r="BN107" s="373"/>
      <c r="BO107" s="373"/>
      <c r="BP107" s="373"/>
      <c r="BQ107" s="373"/>
      <c r="BR107" s="373"/>
      <c r="BS107" s="373"/>
      <c r="BT107" s="373"/>
      <c r="BU107" s="373"/>
      <c r="BV107" s="1333"/>
    </row>
    <row r="108" spans="2:74" ht="5" customHeight="1" thickTop="1" thickBot="1" x14ac:dyDescent="0.2">
      <c r="B108" s="1346"/>
      <c r="C108" s="209"/>
    </row>
    <row r="109" spans="2:74" ht="17" thickTop="1" x14ac:dyDescent="0.2">
      <c r="B109" s="1346"/>
      <c r="C109" s="1355" t="s">
        <v>193</v>
      </c>
      <c r="D109" s="1328" t="s">
        <v>42</v>
      </c>
      <c r="E109" s="366"/>
      <c r="F109" s="366"/>
      <c r="G109" s="366"/>
      <c r="H109" s="366"/>
      <c r="I109" s="366"/>
      <c r="J109" s="366"/>
      <c r="K109" s="366"/>
      <c r="L109" s="366"/>
      <c r="M109" s="366"/>
      <c r="N109" s="1331" t="s">
        <v>43</v>
      </c>
      <c r="P109" s="1328" t="s">
        <v>42</v>
      </c>
      <c r="Q109" s="366"/>
      <c r="R109" s="366"/>
      <c r="S109" s="366"/>
      <c r="T109" s="366"/>
      <c r="U109" s="366"/>
      <c r="V109" s="366"/>
      <c r="W109" s="366"/>
      <c r="X109" s="366"/>
      <c r="Y109" s="366"/>
      <c r="Z109" s="1331" t="s">
        <v>43</v>
      </c>
      <c r="AB109" s="1328" t="s">
        <v>42</v>
      </c>
      <c r="AC109" s="366"/>
      <c r="AD109" s="366"/>
      <c r="AE109" s="366"/>
      <c r="AF109" s="366"/>
      <c r="AG109" s="366"/>
      <c r="AH109" s="366"/>
      <c r="AI109" s="366"/>
      <c r="AJ109" s="366"/>
      <c r="AK109" s="366"/>
      <c r="AL109" s="1331" t="s">
        <v>43</v>
      </c>
      <c r="AN109" s="1328" t="s">
        <v>42</v>
      </c>
      <c r="AO109" s="366"/>
      <c r="AP109" s="366"/>
      <c r="AQ109" s="366"/>
      <c r="AR109" s="366"/>
      <c r="AS109" s="366"/>
      <c r="AT109" s="366"/>
      <c r="AU109" s="366"/>
      <c r="AV109" s="366"/>
      <c r="AW109" s="366"/>
      <c r="AX109" s="1331" t="s">
        <v>43</v>
      </c>
      <c r="AZ109" s="1328" t="s">
        <v>42</v>
      </c>
      <c r="BA109" s="366"/>
      <c r="BB109" s="366"/>
      <c r="BC109" s="366"/>
      <c r="BD109" s="366"/>
      <c r="BE109" s="366"/>
      <c r="BF109" s="366"/>
      <c r="BG109" s="366"/>
      <c r="BH109" s="366"/>
      <c r="BI109" s="366"/>
      <c r="BJ109" s="1331" t="s">
        <v>43</v>
      </c>
      <c r="BL109" s="1328" t="s">
        <v>42</v>
      </c>
      <c r="BM109" s="366"/>
      <c r="BN109" s="366"/>
      <c r="BO109" s="366"/>
      <c r="BP109" s="366"/>
      <c r="BQ109" s="366"/>
      <c r="BR109" s="366"/>
      <c r="BS109" s="366"/>
      <c r="BT109" s="366"/>
      <c r="BU109" s="366"/>
      <c r="BV109" s="1331" t="s">
        <v>43</v>
      </c>
    </row>
    <row r="110" spans="2:74" ht="16" x14ac:dyDescent="0.2">
      <c r="B110" s="1346"/>
      <c r="C110" s="1355"/>
      <c r="D110" s="1329"/>
      <c r="E110" s="367"/>
      <c r="F110" s="367"/>
      <c r="G110" s="367"/>
      <c r="H110" s="367"/>
      <c r="I110" s="367"/>
      <c r="J110" s="367"/>
      <c r="K110" s="367"/>
      <c r="L110" s="367"/>
      <c r="M110" s="367"/>
      <c r="N110" s="1332"/>
      <c r="P110" s="1329"/>
      <c r="Q110" s="367"/>
      <c r="R110" s="367"/>
      <c r="S110" s="367"/>
      <c r="T110" s="367"/>
      <c r="U110" s="367"/>
      <c r="V110" s="367"/>
      <c r="W110" s="367"/>
      <c r="X110" s="367"/>
      <c r="Y110" s="367"/>
      <c r="Z110" s="1332"/>
      <c r="AB110" s="1329"/>
      <c r="AC110" s="367"/>
      <c r="AD110" s="367"/>
      <c r="AE110" s="367"/>
      <c r="AF110" s="367"/>
      <c r="AG110" s="367"/>
      <c r="AH110" s="367"/>
      <c r="AI110" s="367"/>
      <c r="AJ110" s="367"/>
      <c r="AK110" s="367"/>
      <c r="AL110" s="1332"/>
      <c r="AN110" s="1329"/>
      <c r="AO110" s="367"/>
      <c r="AP110" s="367"/>
      <c r="AQ110" s="367"/>
      <c r="AR110" s="367"/>
      <c r="AS110" s="367"/>
      <c r="AT110" s="367"/>
      <c r="AU110" s="367"/>
      <c r="AV110" s="367"/>
      <c r="AW110" s="367"/>
      <c r="AX110" s="1332"/>
      <c r="AZ110" s="1329"/>
      <c r="BA110" s="367"/>
      <c r="BB110" s="367"/>
      <c r="BC110" s="367"/>
      <c r="BD110" s="367"/>
      <c r="BE110" s="367"/>
      <c r="BF110" s="367"/>
      <c r="BG110" s="367"/>
      <c r="BH110" s="367"/>
      <c r="BI110" s="367"/>
      <c r="BJ110" s="1332"/>
      <c r="BL110" s="1329"/>
      <c r="BM110" s="367"/>
      <c r="BN110" s="367"/>
      <c r="BO110" s="367"/>
      <c r="BP110" s="367"/>
      <c r="BQ110" s="367"/>
      <c r="BR110" s="367"/>
      <c r="BS110" s="367"/>
      <c r="BT110" s="367"/>
      <c r="BU110" s="367"/>
      <c r="BV110" s="1332"/>
    </row>
    <row r="111" spans="2:74" ht="21" x14ac:dyDescent="0.25">
      <c r="B111" s="1346"/>
      <c r="C111" s="1355"/>
      <c r="D111" s="1329"/>
      <c r="E111" s="368" t="str">
        <f>E103</f>
        <v>Demande mensuelle</v>
      </c>
      <c r="F111" s="368" t="s">
        <v>44</v>
      </c>
      <c r="G111" s="368" t="str">
        <f>G103</f>
        <v>Achalandage annuelle</v>
      </c>
      <c r="H111" s="368" t="s">
        <v>45</v>
      </c>
      <c r="I111" s="368" t="s">
        <v>46</v>
      </c>
      <c r="J111" s="1334" t="s">
        <v>132</v>
      </c>
      <c r="K111" s="1335"/>
      <c r="L111" s="1335"/>
      <c r="M111" s="368" t="s">
        <v>49</v>
      </c>
      <c r="N111" s="1332"/>
      <c r="P111" s="1329"/>
      <c r="Q111" s="368" t="str">
        <f>Q103</f>
        <v>Demande mensuelle</v>
      </c>
      <c r="R111" s="368" t="s">
        <v>44</v>
      </c>
      <c r="S111" s="368" t="str">
        <f>S103</f>
        <v>Achalandage annuelle</v>
      </c>
      <c r="T111" s="368" t="s">
        <v>45</v>
      </c>
      <c r="U111" s="368" t="s">
        <v>46</v>
      </c>
      <c r="V111" s="1334" t="str">
        <f>J111</f>
        <v>Dm/A</v>
      </c>
      <c r="W111" s="1335"/>
      <c r="X111" s="1335"/>
      <c r="Y111" s="368" t="s">
        <v>49</v>
      </c>
      <c r="Z111" s="1332"/>
      <c r="AB111" s="1329"/>
      <c r="AC111" s="368" t="str">
        <f>AC103</f>
        <v>Demande mensuelle</v>
      </c>
      <c r="AD111" s="368" t="s">
        <v>44</v>
      </c>
      <c r="AE111" s="368" t="str">
        <f>AE103</f>
        <v>Achalandage annuelle</v>
      </c>
      <c r="AF111" s="368" t="s">
        <v>45</v>
      </c>
      <c r="AG111" s="368" t="s">
        <v>46</v>
      </c>
      <c r="AH111" s="1334" t="str">
        <f>V111</f>
        <v>Dm/A</v>
      </c>
      <c r="AI111" s="1335"/>
      <c r="AJ111" s="1335"/>
      <c r="AK111" s="368" t="s">
        <v>49</v>
      </c>
      <c r="AL111" s="1332"/>
      <c r="AN111" s="1329"/>
      <c r="AO111" s="368" t="str">
        <f>AO103</f>
        <v>Demande mensuelle</v>
      </c>
      <c r="AP111" s="368" t="s">
        <v>44</v>
      </c>
      <c r="AQ111" s="368" t="str">
        <f>AQ103</f>
        <v>Achalandage annuelle</v>
      </c>
      <c r="AR111" s="368" t="s">
        <v>45</v>
      </c>
      <c r="AS111" s="368" t="s">
        <v>46</v>
      </c>
      <c r="AT111" s="1334" t="str">
        <f>AH111</f>
        <v>Dm/A</v>
      </c>
      <c r="AU111" s="1335"/>
      <c r="AV111" s="1335"/>
      <c r="AW111" s="368" t="s">
        <v>49</v>
      </c>
      <c r="AX111" s="1332"/>
      <c r="AZ111" s="1329"/>
      <c r="BA111" s="368" t="str">
        <f>BA103</f>
        <v>Coût annuel</v>
      </c>
      <c r="BB111" s="368" t="s">
        <v>44</v>
      </c>
      <c r="BC111" s="368" t="str">
        <f>BC103</f>
        <v>Achalandage annuelle</v>
      </c>
      <c r="BD111" s="368" t="s">
        <v>45</v>
      </c>
      <c r="BE111" s="368" t="s">
        <v>46</v>
      </c>
      <c r="BF111" s="1334" t="s">
        <v>239</v>
      </c>
      <c r="BG111" s="1335"/>
      <c r="BH111" s="1335"/>
      <c r="BI111" s="368" t="s">
        <v>49</v>
      </c>
      <c r="BJ111" s="1332"/>
      <c r="BL111" s="1329"/>
      <c r="BM111" s="368" t="str">
        <f>BM103</f>
        <v>Bénéfice annuel</v>
      </c>
      <c r="BN111" s="368" t="s">
        <v>44</v>
      </c>
      <c r="BO111" s="368" t="str">
        <f>BO103</f>
        <v>Achalandage annuelle</v>
      </c>
      <c r="BP111" s="368" t="s">
        <v>45</v>
      </c>
      <c r="BQ111" s="368" t="s">
        <v>46</v>
      </c>
      <c r="BR111" s="1334" t="s">
        <v>240</v>
      </c>
      <c r="BS111" s="1335"/>
      <c r="BT111" s="1335"/>
      <c r="BU111" s="368" t="s">
        <v>49</v>
      </c>
      <c r="BV111" s="1332"/>
    </row>
    <row r="112" spans="2:74" ht="19" x14ac:dyDescent="0.25">
      <c r="B112" s="1346"/>
      <c r="C112" s="1355"/>
      <c r="D112" s="1329"/>
      <c r="E112" s="369" t="s">
        <v>2</v>
      </c>
      <c r="F112" s="370"/>
      <c r="G112" s="369"/>
      <c r="H112" s="370"/>
      <c r="I112" s="370"/>
      <c r="J112" s="370"/>
      <c r="K112" s="370"/>
      <c r="L112" s="370"/>
      <c r="M112" s="370"/>
      <c r="N112" s="1332"/>
      <c r="P112" s="1329"/>
      <c r="Q112" s="369" t="s">
        <v>2</v>
      </c>
      <c r="R112" s="370"/>
      <c r="S112" s="369"/>
      <c r="T112" s="370"/>
      <c r="U112" s="370"/>
      <c r="V112" s="370"/>
      <c r="W112" s="370"/>
      <c r="X112" s="370"/>
      <c r="Y112" s="370"/>
      <c r="Z112" s="1332"/>
      <c r="AB112" s="1329"/>
      <c r="AC112" s="369" t="s">
        <v>2</v>
      </c>
      <c r="AD112" s="370"/>
      <c r="AE112" s="369"/>
      <c r="AF112" s="370"/>
      <c r="AG112" s="370"/>
      <c r="AH112" s="370"/>
      <c r="AI112" s="370"/>
      <c r="AJ112" s="370"/>
      <c r="AK112" s="370"/>
      <c r="AL112" s="1332"/>
      <c r="AN112" s="1329"/>
      <c r="AO112" s="369" t="s">
        <v>2</v>
      </c>
      <c r="AP112" s="370"/>
      <c r="AQ112" s="369"/>
      <c r="AR112" s="370"/>
      <c r="AS112" s="370"/>
      <c r="AT112" s="370"/>
      <c r="AU112" s="370"/>
      <c r="AV112" s="370"/>
      <c r="AW112" s="370"/>
      <c r="AX112" s="1332"/>
      <c r="AZ112" s="1329"/>
      <c r="BA112" s="369" t="s">
        <v>2</v>
      </c>
      <c r="BB112" s="370"/>
      <c r="BC112" s="369"/>
      <c r="BD112" s="370"/>
      <c r="BE112" s="370"/>
      <c r="BF112" s="370"/>
      <c r="BG112" s="370"/>
      <c r="BH112" s="370"/>
      <c r="BI112" s="370"/>
      <c r="BJ112" s="1332"/>
      <c r="BL112" s="1329"/>
      <c r="BM112" s="369" t="s">
        <v>2</v>
      </c>
      <c r="BN112" s="370"/>
      <c r="BO112" s="369"/>
      <c r="BP112" s="370"/>
      <c r="BQ112" s="370"/>
      <c r="BR112" s="370"/>
      <c r="BS112" s="370"/>
      <c r="BT112" s="370"/>
      <c r="BU112" s="370"/>
      <c r="BV112" s="1332"/>
    </row>
    <row r="113" spans="2:74" ht="26" x14ac:dyDescent="0.3">
      <c r="B113" s="1346"/>
      <c r="C113" s="1355"/>
      <c r="D113" s="1329"/>
      <c r="E113" s="371" t="str">
        <f>E105</f>
        <v>D</v>
      </c>
      <c r="F113" s="372"/>
      <c r="G113" s="371" t="str">
        <f>G105</f>
        <v>A</v>
      </c>
      <c r="H113" s="372"/>
      <c r="I113" s="372"/>
      <c r="J113" s="1336" t="str">
        <f>J111</f>
        <v>Dm/A</v>
      </c>
      <c r="K113" s="1335"/>
      <c r="L113" s="1335"/>
      <c r="M113" s="372"/>
      <c r="N113" s="1332"/>
      <c r="P113" s="1329"/>
      <c r="Q113" s="371" t="str">
        <f>E113</f>
        <v>D</v>
      </c>
      <c r="R113" s="372"/>
      <c r="S113" s="371" t="str">
        <f>G113</f>
        <v>A</v>
      </c>
      <c r="T113" s="372"/>
      <c r="U113" s="372"/>
      <c r="V113" s="1336" t="str">
        <f>V111</f>
        <v>Dm/A</v>
      </c>
      <c r="W113" s="1335"/>
      <c r="X113" s="1335"/>
      <c r="Y113" s="372"/>
      <c r="Z113" s="1332"/>
      <c r="AB113" s="1329"/>
      <c r="AC113" s="371" t="str">
        <f>AC105</f>
        <v>D</v>
      </c>
      <c r="AD113" s="372"/>
      <c r="AE113" s="371" t="str">
        <f>AE105</f>
        <v>A</v>
      </c>
      <c r="AF113" s="372"/>
      <c r="AG113" s="372"/>
      <c r="AH113" s="1336" t="str">
        <f>AH111</f>
        <v>Dm/A</v>
      </c>
      <c r="AI113" s="1335"/>
      <c r="AJ113" s="1335"/>
      <c r="AK113" s="372"/>
      <c r="AL113" s="1332"/>
      <c r="AN113" s="1329"/>
      <c r="AO113" s="371" t="str">
        <f>AO105</f>
        <v>D</v>
      </c>
      <c r="AP113" s="372"/>
      <c r="AQ113" s="371" t="str">
        <f>AQ105</f>
        <v>A</v>
      </c>
      <c r="AR113" s="372"/>
      <c r="AS113" s="372"/>
      <c r="AT113" s="1336" t="str">
        <f>AT111</f>
        <v>Dm/A</v>
      </c>
      <c r="AU113" s="1335"/>
      <c r="AV113" s="1335"/>
      <c r="AW113" s="372"/>
      <c r="AX113" s="1332"/>
      <c r="AZ113" s="1329"/>
      <c r="BA113" s="371" t="str">
        <f>BA105</f>
        <v xml:space="preserve">C </v>
      </c>
      <c r="BB113" s="372"/>
      <c r="BC113" s="371" t="s">
        <v>50</v>
      </c>
      <c r="BD113" s="372"/>
      <c r="BE113" s="372"/>
      <c r="BF113" s="1336" t="str">
        <f>+BF111</f>
        <v>Cm/A</v>
      </c>
      <c r="BG113" s="1335"/>
      <c r="BH113" s="1335"/>
      <c r="BI113" s="372"/>
      <c r="BJ113" s="1332"/>
      <c r="BL113" s="1329"/>
      <c r="BM113" s="371" t="str">
        <f>BM105</f>
        <v xml:space="preserve">B </v>
      </c>
      <c r="BN113" s="372"/>
      <c r="BO113" s="371" t="str">
        <f>BO105</f>
        <v>A</v>
      </c>
      <c r="BP113" s="372"/>
      <c r="BQ113" s="372"/>
      <c r="BR113" s="1336" t="str">
        <f>+BR111</f>
        <v>Bm/A</v>
      </c>
      <c r="BS113" s="1335"/>
      <c r="BT113" s="1335"/>
      <c r="BU113" s="372"/>
      <c r="BV113" s="1332"/>
    </row>
    <row r="114" spans="2:74" ht="21" x14ac:dyDescent="0.25">
      <c r="B114" s="1346"/>
      <c r="C114" s="1355"/>
      <c r="D114" s="1329"/>
      <c r="E114" s="337">
        <f>+Q114+AC114+AO114</f>
        <v>1054528.0191666668</v>
      </c>
      <c r="F114" s="368" t="s">
        <v>44</v>
      </c>
      <c r="G114" s="338">
        <f>+G106</f>
        <v>52000</v>
      </c>
      <c r="H114" s="368" t="s">
        <v>45</v>
      </c>
      <c r="I114" s="368" t="s">
        <v>46</v>
      </c>
      <c r="J114" s="1349">
        <f>+E114/G114</f>
        <v>20.27938498397436</v>
      </c>
      <c r="K114" s="1350"/>
      <c r="L114" s="1350"/>
      <c r="M114" s="368" t="s">
        <v>49</v>
      </c>
      <c r="N114" s="1332"/>
      <c r="P114" s="1329"/>
      <c r="Q114" s="377">
        <f>+Q106</f>
        <v>520354.85583333339</v>
      </c>
      <c r="R114" s="368" t="s">
        <v>44</v>
      </c>
      <c r="S114" s="338">
        <f>+S106</f>
        <v>52000</v>
      </c>
      <c r="T114" s="368" t="s">
        <v>45</v>
      </c>
      <c r="U114" s="368" t="s">
        <v>46</v>
      </c>
      <c r="V114" s="1351">
        <f>Q114/S114</f>
        <v>10.006824150641027</v>
      </c>
      <c r="W114" s="1352"/>
      <c r="X114" s="1352"/>
      <c r="Y114" s="368" t="s">
        <v>49</v>
      </c>
      <c r="Z114" s="1332"/>
      <c r="AB114" s="1329"/>
      <c r="AC114" s="377">
        <f>+AC106</f>
        <v>534173.16333333345</v>
      </c>
      <c r="AD114" s="368" t="s">
        <v>44</v>
      </c>
      <c r="AE114" s="338">
        <f>+AE106</f>
        <v>52000</v>
      </c>
      <c r="AF114" s="368" t="s">
        <v>45</v>
      </c>
      <c r="AG114" s="368" t="s">
        <v>46</v>
      </c>
      <c r="AH114" s="1349">
        <f>AC114/AE114</f>
        <v>10.272560833333335</v>
      </c>
      <c r="AI114" s="1350"/>
      <c r="AJ114" s="1350"/>
      <c r="AK114" s="368" t="s">
        <v>49</v>
      </c>
      <c r="AL114" s="1332"/>
      <c r="AN114" s="1329"/>
      <c r="AO114" s="377">
        <f>+AO106</f>
        <v>0</v>
      </c>
      <c r="AP114" s="368" t="s">
        <v>44</v>
      </c>
      <c r="AQ114" s="338">
        <f>+AQ106</f>
        <v>52000</v>
      </c>
      <c r="AR114" s="368" t="s">
        <v>45</v>
      </c>
      <c r="AS114" s="368" t="s">
        <v>46</v>
      </c>
      <c r="AT114" s="1337">
        <f>AO114/AQ114</f>
        <v>0</v>
      </c>
      <c r="AU114" s="1338"/>
      <c r="AV114" s="1338"/>
      <c r="AW114" s="368" t="s">
        <v>49</v>
      </c>
      <c r="AX114" s="1332"/>
      <c r="AZ114" s="1329"/>
      <c r="BA114" s="377">
        <f>+BA106</f>
        <v>984274.60462904826</v>
      </c>
      <c r="BB114" s="368" t="s">
        <v>44</v>
      </c>
      <c r="BC114" s="338">
        <f>G114</f>
        <v>52000</v>
      </c>
      <c r="BD114" s="368" t="s">
        <v>45</v>
      </c>
      <c r="BE114" s="368" t="s">
        <v>46</v>
      </c>
      <c r="BF114" s="1337">
        <f>BA114/BC114</f>
        <v>18.928357781327851</v>
      </c>
      <c r="BG114" s="1338"/>
      <c r="BH114" s="1338"/>
      <c r="BI114" s="368" t="s">
        <v>49</v>
      </c>
      <c r="BJ114" s="1332"/>
      <c r="BL114" s="1329"/>
      <c r="BM114" s="377">
        <f>+BM106</f>
        <v>70253.414537618257</v>
      </c>
      <c r="BN114" s="368" t="s">
        <v>44</v>
      </c>
      <c r="BO114" s="338">
        <f>S114</f>
        <v>52000</v>
      </c>
      <c r="BP114" s="368" t="s">
        <v>45</v>
      </c>
      <c r="BQ114" s="368" t="s">
        <v>46</v>
      </c>
      <c r="BR114" s="1337">
        <f>BM114/BO114</f>
        <v>1.3510272026465049</v>
      </c>
      <c r="BS114" s="1338"/>
      <c r="BT114" s="1338"/>
      <c r="BU114" s="368" t="s">
        <v>49</v>
      </c>
      <c r="BV114" s="1332"/>
    </row>
    <row r="115" spans="2:74" ht="17" thickBot="1" x14ac:dyDescent="0.25">
      <c r="B115" s="1347"/>
      <c r="C115" s="1355"/>
      <c r="D115" s="1330"/>
      <c r="E115" s="373"/>
      <c r="F115" s="373"/>
      <c r="G115" s="373"/>
      <c r="H115" s="373"/>
      <c r="I115" s="373"/>
      <c r="J115" s="373"/>
      <c r="K115" s="373"/>
      <c r="L115" s="373"/>
      <c r="M115" s="373"/>
      <c r="N115" s="1333"/>
      <c r="P115" s="1330"/>
      <c r="Q115" s="373"/>
      <c r="R115" s="373"/>
      <c r="S115" s="373"/>
      <c r="T115" s="373"/>
      <c r="U115" s="373"/>
      <c r="V115" s="373"/>
      <c r="W115" s="373"/>
      <c r="X115" s="373"/>
      <c r="Y115" s="373"/>
      <c r="Z115" s="1333"/>
      <c r="AB115" s="1330"/>
      <c r="AC115" s="373"/>
      <c r="AD115" s="373"/>
      <c r="AE115" s="373"/>
      <c r="AF115" s="373"/>
      <c r="AG115" s="373"/>
      <c r="AH115" s="373"/>
      <c r="AI115" s="373"/>
      <c r="AJ115" s="373"/>
      <c r="AK115" s="373"/>
      <c r="AL115" s="1333"/>
      <c r="AN115" s="1330"/>
      <c r="AO115" s="373"/>
      <c r="AP115" s="373"/>
      <c r="AQ115" s="373"/>
      <c r="AR115" s="373"/>
      <c r="AS115" s="373"/>
      <c r="AT115" s="373"/>
      <c r="AU115" s="373"/>
      <c r="AV115" s="373"/>
      <c r="AW115" s="373"/>
      <c r="AX115" s="1333"/>
      <c r="AZ115" s="1330"/>
      <c r="BA115" s="373"/>
      <c r="BB115" s="373"/>
      <c r="BC115" s="373"/>
      <c r="BD115" s="373"/>
      <c r="BE115" s="373"/>
      <c r="BF115" s="373"/>
      <c r="BG115" s="373"/>
      <c r="BH115" s="373"/>
      <c r="BI115" s="373"/>
      <c r="BJ115" s="1333"/>
      <c r="BL115" s="1330"/>
      <c r="BM115" s="373"/>
      <c r="BN115" s="373"/>
      <c r="BO115" s="373"/>
      <c r="BP115" s="373"/>
      <c r="BQ115" s="373"/>
      <c r="BR115" s="373"/>
      <c r="BS115" s="373"/>
      <c r="BT115" s="373"/>
      <c r="BU115" s="373"/>
      <c r="BV115" s="1333"/>
    </row>
    <row r="116" spans="2:74" x14ac:dyDescent="0.15">
      <c r="C116" s="209"/>
    </row>
    <row r="117" spans="2:74" ht="18" x14ac:dyDescent="0.2">
      <c r="D117" s="162" t="s">
        <v>131</v>
      </c>
      <c r="E117" s="162"/>
    </row>
    <row r="118" spans="2:74" ht="18" x14ac:dyDescent="0.2">
      <c r="D118" s="162" t="s">
        <v>130</v>
      </c>
      <c r="E118" s="162"/>
    </row>
    <row r="119" spans="2:74" ht="18" x14ac:dyDescent="0.2">
      <c r="D119" s="162" t="s">
        <v>129</v>
      </c>
      <c r="E119" s="162"/>
    </row>
    <row r="120" spans="2:74" ht="18" x14ac:dyDescent="0.2">
      <c r="D120" s="162" t="s">
        <v>128</v>
      </c>
      <c r="E120" s="162"/>
    </row>
    <row r="121" spans="2:74" ht="18" x14ac:dyDescent="0.2">
      <c r="D121" s="162" t="s">
        <v>127</v>
      </c>
      <c r="E121" s="162"/>
    </row>
    <row r="122" spans="2:74" ht="18" x14ac:dyDescent="0.2">
      <c r="C122" s="162"/>
      <c r="D122" s="162"/>
    </row>
    <row r="123" spans="2:74" ht="18" x14ac:dyDescent="0.2">
      <c r="D123" s="164" t="s">
        <v>166</v>
      </c>
      <c r="E123" s="164"/>
      <c r="F123" s="163"/>
      <c r="G123" s="163"/>
      <c r="H123" s="163"/>
      <c r="I123" s="163"/>
    </row>
  </sheetData>
  <sheetProtection algorithmName="SHA-512" hashValue="Oh6sRPwzKWJkJ1MnShIcZ2i3wZ2yyXn4GmBfzSS53UzZ3djfUC81GIJZJLvvjvKBzXIg34ef5ObkdnfbTpdf3A==" saltValue="++eRWVKA9lRHbhmB+z0PfA==" spinCount="100000" sheet="1" objects="1" scenarios="1"/>
  <mergeCells count="214">
    <mergeCell ref="C29:C35"/>
    <mergeCell ref="D29:D35"/>
    <mergeCell ref="N29:N35"/>
    <mergeCell ref="C37:C43"/>
    <mergeCell ref="D37:D43"/>
    <mergeCell ref="N37:N43"/>
    <mergeCell ref="C5:C11"/>
    <mergeCell ref="C13:C19"/>
    <mergeCell ref="C21:C27"/>
    <mergeCell ref="D21:D27"/>
    <mergeCell ref="N21:N27"/>
    <mergeCell ref="N5:N11"/>
    <mergeCell ref="D13:D19"/>
    <mergeCell ref="N13:N19"/>
    <mergeCell ref="D5:D11"/>
    <mergeCell ref="D61:D67"/>
    <mergeCell ref="N61:N67"/>
    <mergeCell ref="C69:C75"/>
    <mergeCell ref="D69:D75"/>
    <mergeCell ref="N69:N75"/>
    <mergeCell ref="C45:C51"/>
    <mergeCell ref="D45:D51"/>
    <mergeCell ref="N45:N51"/>
    <mergeCell ref="C53:C59"/>
    <mergeCell ref="D53:D59"/>
    <mergeCell ref="N53:N59"/>
    <mergeCell ref="O5:O11"/>
    <mergeCell ref="C109:C115"/>
    <mergeCell ref="D109:D115"/>
    <mergeCell ref="N109:N115"/>
    <mergeCell ref="J113:L113"/>
    <mergeCell ref="J111:L111"/>
    <mergeCell ref="J114:L114"/>
    <mergeCell ref="B5:B27"/>
    <mergeCell ref="B29:B51"/>
    <mergeCell ref="B53:B75"/>
    <mergeCell ref="B77:B99"/>
    <mergeCell ref="C93:C99"/>
    <mergeCell ref="D93:D99"/>
    <mergeCell ref="N93:N99"/>
    <mergeCell ref="C101:C107"/>
    <mergeCell ref="D101:D107"/>
    <mergeCell ref="N101:N107"/>
    <mergeCell ref="C77:C83"/>
    <mergeCell ref="D77:D83"/>
    <mergeCell ref="N77:N83"/>
    <mergeCell ref="C85:C91"/>
    <mergeCell ref="D85:D91"/>
    <mergeCell ref="N85:N91"/>
    <mergeCell ref="C61:C67"/>
    <mergeCell ref="P13:P19"/>
    <mergeCell ref="Z13:Z19"/>
    <mergeCell ref="P21:P27"/>
    <mergeCell ref="Z21:Z27"/>
    <mergeCell ref="P29:P35"/>
    <mergeCell ref="Z29:Z35"/>
    <mergeCell ref="P2:Z3"/>
    <mergeCell ref="P5:P11"/>
    <mergeCell ref="Z5:Z11"/>
    <mergeCell ref="P61:P67"/>
    <mergeCell ref="Z61:Z67"/>
    <mergeCell ref="P69:P75"/>
    <mergeCell ref="Z69:Z75"/>
    <mergeCell ref="P77:P83"/>
    <mergeCell ref="Z77:Z83"/>
    <mergeCell ref="P37:P43"/>
    <mergeCell ref="Z37:Z43"/>
    <mergeCell ref="P45:P51"/>
    <mergeCell ref="Z45:Z51"/>
    <mergeCell ref="P53:P59"/>
    <mergeCell ref="Z53:Z59"/>
    <mergeCell ref="P109:P115"/>
    <mergeCell ref="Z109:Z115"/>
    <mergeCell ref="V111:X111"/>
    <mergeCell ref="V113:X113"/>
    <mergeCell ref="V114:X114"/>
    <mergeCell ref="P85:P91"/>
    <mergeCell ref="Z85:Z91"/>
    <mergeCell ref="P93:P99"/>
    <mergeCell ref="Z93:Z99"/>
    <mergeCell ref="P101:P107"/>
    <mergeCell ref="Z101:Z107"/>
    <mergeCell ref="AB21:AB27"/>
    <mergeCell ref="AL21:AL27"/>
    <mergeCell ref="AB29:AB35"/>
    <mergeCell ref="AL29:AL35"/>
    <mergeCell ref="AB37:AB43"/>
    <mergeCell ref="AL37:AL43"/>
    <mergeCell ref="AB2:AL3"/>
    <mergeCell ref="AA5:AA11"/>
    <mergeCell ref="AB5:AB11"/>
    <mergeCell ref="AL5:AL11"/>
    <mergeCell ref="AB13:AB19"/>
    <mergeCell ref="AL13:AL19"/>
    <mergeCell ref="AB69:AB75"/>
    <mergeCell ref="AL69:AL75"/>
    <mergeCell ref="AB77:AB83"/>
    <mergeCell ref="AL77:AL83"/>
    <mergeCell ref="AB85:AB91"/>
    <mergeCell ref="AL85:AL91"/>
    <mergeCell ref="AB45:AB51"/>
    <mergeCell ref="AL45:AL51"/>
    <mergeCell ref="AB53:AB59"/>
    <mergeCell ref="AL53:AL59"/>
    <mergeCell ref="AB61:AB67"/>
    <mergeCell ref="AL61:AL67"/>
    <mergeCell ref="AB93:AB99"/>
    <mergeCell ref="AL93:AL99"/>
    <mergeCell ref="AB101:AB107"/>
    <mergeCell ref="AL101:AL107"/>
    <mergeCell ref="AB109:AB115"/>
    <mergeCell ref="AL109:AL115"/>
    <mergeCell ref="AH111:AJ111"/>
    <mergeCell ref="AH113:AJ113"/>
    <mergeCell ref="AH114:AJ114"/>
    <mergeCell ref="AX21:AX27"/>
    <mergeCell ref="AN29:AN35"/>
    <mergeCell ref="AX29:AX35"/>
    <mergeCell ref="AN37:AN43"/>
    <mergeCell ref="AX37:AX43"/>
    <mergeCell ref="AN2:AX3"/>
    <mergeCell ref="AM5:AM11"/>
    <mergeCell ref="AN5:AN11"/>
    <mergeCell ref="AX5:AX11"/>
    <mergeCell ref="AN13:AN19"/>
    <mergeCell ref="AX13:AX19"/>
    <mergeCell ref="B101:B115"/>
    <mergeCell ref="D2:N3"/>
    <mergeCell ref="AN93:AN99"/>
    <mergeCell ref="AX93:AX99"/>
    <mergeCell ref="AN101:AN107"/>
    <mergeCell ref="AX101:AX107"/>
    <mergeCell ref="AN109:AN115"/>
    <mergeCell ref="AX109:AX115"/>
    <mergeCell ref="AT111:AV111"/>
    <mergeCell ref="AT113:AV113"/>
    <mergeCell ref="AT114:AV114"/>
    <mergeCell ref="AN69:AN75"/>
    <mergeCell ref="AX69:AX75"/>
    <mergeCell ref="AN77:AN83"/>
    <mergeCell ref="AX77:AX83"/>
    <mergeCell ref="AN85:AN91"/>
    <mergeCell ref="AX85:AX91"/>
    <mergeCell ref="AN45:AN51"/>
    <mergeCell ref="AX45:AX51"/>
    <mergeCell ref="AN53:AN59"/>
    <mergeCell ref="AX53:AX59"/>
    <mergeCell ref="AN61:AN67"/>
    <mergeCell ref="AX61:AX67"/>
    <mergeCell ref="AN21:AN27"/>
    <mergeCell ref="AZ101:AZ107"/>
    <mergeCell ref="BJ101:BJ107"/>
    <mergeCell ref="AZ109:AZ115"/>
    <mergeCell ref="BJ109:BJ115"/>
    <mergeCell ref="BF111:BH111"/>
    <mergeCell ref="BF113:BH113"/>
    <mergeCell ref="BF114:BH114"/>
    <mergeCell ref="AZ2:BJ3"/>
    <mergeCell ref="BL2:BV3"/>
    <mergeCell ref="BL101:BL107"/>
    <mergeCell ref="BV101:BV107"/>
    <mergeCell ref="BL109:BL115"/>
    <mergeCell ref="BV109:BV115"/>
    <mergeCell ref="BR111:BT111"/>
    <mergeCell ref="BR113:BT113"/>
    <mergeCell ref="BR114:BT114"/>
    <mergeCell ref="AZ5:AZ11"/>
    <mergeCell ref="BJ5:BJ11"/>
    <mergeCell ref="BL5:BL11"/>
    <mergeCell ref="BV5:BV11"/>
    <mergeCell ref="AZ13:AZ19"/>
    <mergeCell ref="BJ13:BJ19"/>
    <mergeCell ref="BL13:BL19"/>
    <mergeCell ref="BV13:BV19"/>
    <mergeCell ref="AZ21:AZ27"/>
    <mergeCell ref="BJ21:BJ27"/>
    <mergeCell ref="BL21:BL27"/>
    <mergeCell ref="BV21:BV27"/>
    <mergeCell ref="AZ29:AZ35"/>
    <mergeCell ref="BJ29:BJ35"/>
    <mergeCell ref="AZ37:AZ43"/>
    <mergeCell ref="BJ37:BJ43"/>
    <mergeCell ref="AZ45:AZ51"/>
    <mergeCell ref="BJ45:BJ51"/>
    <mergeCell ref="BL29:BL35"/>
    <mergeCell ref="BV29:BV35"/>
    <mergeCell ref="BL37:BL43"/>
    <mergeCell ref="BV37:BV43"/>
    <mergeCell ref="BL45:BL51"/>
    <mergeCell ref="BV45:BV51"/>
    <mergeCell ref="AZ53:AZ59"/>
    <mergeCell ref="BJ53:BJ59"/>
    <mergeCell ref="AZ61:AZ67"/>
    <mergeCell ref="BJ61:BJ67"/>
    <mergeCell ref="AZ69:AZ75"/>
    <mergeCell ref="BJ69:BJ75"/>
    <mergeCell ref="BL53:BL59"/>
    <mergeCell ref="BV53:BV59"/>
    <mergeCell ref="BL61:BL67"/>
    <mergeCell ref="BV61:BV67"/>
    <mergeCell ref="BL69:BL75"/>
    <mergeCell ref="BV69:BV75"/>
    <mergeCell ref="AZ77:AZ83"/>
    <mergeCell ref="BJ77:BJ83"/>
    <mergeCell ref="AZ85:AZ91"/>
    <mergeCell ref="BJ85:BJ91"/>
    <mergeCell ref="AZ93:AZ99"/>
    <mergeCell ref="BJ93:BJ99"/>
    <mergeCell ref="BL77:BL83"/>
    <mergeCell ref="BV77:BV83"/>
    <mergeCell ref="BL85:BL91"/>
    <mergeCell ref="BV85:BV91"/>
    <mergeCell ref="BL93:BL99"/>
    <mergeCell ref="BV93:BV99"/>
  </mergeCells>
  <pageMargins left="0.75" right="0.75" top="1" bottom="1" header="0.5" footer="0.5"/>
  <pageSetup orientation="portrait" horizontalDpi="4294967292" verticalDpi="4294967292"/>
  <ignoredErrors>
    <ignoredError sqref="AV106" evalError="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A8A52-7FBA-3447-AE98-DAC1305C7572}">
  <dimension ref="A1:T577"/>
  <sheetViews>
    <sheetView topLeftCell="A3" zoomScale="90" zoomScaleNormal="90" workbookViewId="0">
      <selection activeCell="F10" sqref="F10"/>
    </sheetView>
  </sheetViews>
  <sheetFormatPr baseColWidth="10" defaultColWidth="10.6640625" defaultRowHeight="13" x14ac:dyDescent="0.15"/>
  <cols>
    <col min="1" max="1" width="10.6640625" style="161"/>
    <col min="2" max="2" width="5.33203125" style="161" customWidth="1"/>
    <col min="3" max="3" width="3.6640625" style="161" customWidth="1"/>
    <col min="4" max="4" width="69" style="161" bestFit="1" customWidth="1"/>
    <col min="5" max="5" width="52.1640625" style="161" bestFit="1" customWidth="1"/>
    <col min="6" max="6" width="21.6640625" style="161" bestFit="1" customWidth="1"/>
    <col min="7" max="7" width="30.1640625" style="161" bestFit="1" customWidth="1"/>
    <col min="8" max="8" width="47.5" style="161" bestFit="1" customWidth="1"/>
    <col min="9" max="9" width="9.83203125" style="161" bestFit="1" customWidth="1"/>
    <col min="10" max="10" width="7.6640625" style="161" customWidth="1"/>
    <col min="11" max="11" width="2.5" style="161" customWidth="1"/>
    <col min="12" max="12" width="23.5" style="161" customWidth="1"/>
    <col min="13" max="13" width="15.33203125" style="161" customWidth="1"/>
    <col min="14" max="14" width="19.1640625" style="161" customWidth="1"/>
    <col min="15" max="15" width="9.6640625" style="161" customWidth="1"/>
    <col min="16" max="16" width="7" style="161" customWidth="1"/>
    <col min="17" max="18" width="1.6640625" style="161" customWidth="1"/>
    <col min="19" max="19" width="4.6640625" style="161" customWidth="1"/>
    <col min="20" max="16384" width="10.6640625" style="161"/>
  </cols>
  <sheetData>
    <row r="1" spans="1:15" ht="13" customHeight="1" x14ac:dyDescent="0.15">
      <c r="A1" s="1383" t="s">
        <v>526</v>
      </c>
      <c r="L1"/>
      <c r="M1"/>
      <c r="N1"/>
      <c r="O1"/>
    </row>
    <row r="2" spans="1:15" ht="22" customHeight="1" x14ac:dyDescent="0.25">
      <c r="A2" s="1384"/>
      <c r="D2" s="1038" t="s">
        <v>550</v>
      </c>
      <c r="F2" s="1084"/>
      <c r="L2"/>
      <c r="M2"/>
      <c r="N2"/>
      <c r="O2"/>
    </row>
    <row r="3" spans="1:15" ht="23" thickBot="1" x14ac:dyDescent="0.3">
      <c r="A3" s="1384"/>
      <c r="D3" s="1039"/>
      <c r="L3"/>
      <c r="M3"/>
      <c r="N3"/>
      <c r="O3"/>
    </row>
    <row r="4" spans="1:15" ht="23" customHeight="1" thickTop="1" x14ac:dyDescent="0.25">
      <c r="A4" s="1384"/>
      <c r="D4" s="1039"/>
      <c r="E4" s="1378" t="s">
        <v>546</v>
      </c>
      <c r="F4" s="1378" t="s">
        <v>534</v>
      </c>
      <c r="G4" s="1378" t="s">
        <v>533</v>
      </c>
      <c r="H4" s="1378" t="s">
        <v>535</v>
      </c>
      <c r="I4" s="1040"/>
      <c r="L4" s="1369" t="s">
        <v>592</v>
      </c>
      <c r="M4" s="1369" t="s">
        <v>593</v>
      </c>
      <c r="N4" s="1369" t="s">
        <v>594</v>
      </c>
      <c r="O4"/>
    </row>
    <row r="5" spans="1:15" ht="22" x14ac:dyDescent="0.25">
      <c r="A5" s="1384"/>
      <c r="D5" s="1039"/>
      <c r="E5" s="1379"/>
      <c r="F5" s="1381"/>
      <c r="G5" s="1381"/>
      <c r="H5" s="1381"/>
      <c r="I5" s="1041"/>
      <c r="L5" s="1370"/>
      <c r="M5" s="1372"/>
      <c r="N5" s="1370"/>
      <c r="O5"/>
    </row>
    <row r="6" spans="1:15" ht="17" customHeight="1" thickBot="1" x14ac:dyDescent="0.2">
      <c r="A6" s="1384"/>
      <c r="E6" s="1380"/>
      <c r="F6" s="1382"/>
      <c r="G6" s="1382"/>
      <c r="H6" s="1382"/>
      <c r="I6" s="1041"/>
      <c r="L6" s="1371"/>
      <c r="M6" s="1373"/>
      <c r="N6" s="1371"/>
      <c r="O6"/>
    </row>
    <row r="7" spans="1:15" ht="15" thickTop="1" thickBot="1" x14ac:dyDescent="0.2">
      <c r="A7" s="1384"/>
      <c r="B7" s="161" t="s">
        <v>2</v>
      </c>
      <c r="E7" s="1084"/>
      <c r="F7" s="1084"/>
      <c r="G7" s="314"/>
      <c r="L7" s="1085"/>
      <c r="M7"/>
      <c r="N7" s="1086"/>
      <c r="O7"/>
    </row>
    <row r="8" spans="1:15" ht="19" thickTop="1" x14ac:dyDescent="0.3">
      <c r="A8" s="1384"/>
      <c r="B8" s="1082"/>
      <c r="C8" s="1082"/>
      <c r="D8" s="1042" t="s">
        <v>563</v>
      </c>
      <c r="E8" s="1087"/>
      <c r="F8" s="1087"/>
      <c r="G8" s="1043"/>
      <c r="H8" s="1082"/>
      <c r="I8" s="1082"/>
      <c r="J8" s="1082"/>
      <c r="K8" s="1082"/>
      <c r="L8" s="1088"/>
      <c r="M8" s="1089"/>
      <c r="N8" s="1090"/>
      <c r="O8"/>
    </row>
    <row r="9" spans="1:15" ht="18" x14ac:dyDescent="0.3">
      <c r="A9" s="1384"/>
      <c r="B9" s="1082">
        <v>1</v>
      </c>
      <c r="C9" s="1082">
        <v>1</v>
      </c>
      <c r="D9" s="1082" t="s">
        <v>564</v>
      </c>
      <c r="E9" s="1091">
        <v>1.21</v>
      </c>
      <c r="F9" s="1128">
        <v>3.3</v>
      </c>
      <c r="G9" s="1044">
        <f t="shared" ref="G9:G21" si="0">E9/F9</f>
        <v>0.3666666666666667</v>
      </c>
      <c r="H9" s="1092">
        <f t="shared" ref="H9:H21" si="1">F9-E9</f>
        <v>2.09</v>
      </c>
      <c r="I9" s="1087">
        <f>F9</f>
        <v>3.3</v>
      </c>
      <c r="J9" s="1374">
        <f>3/12</f>
        <v>0.25</v>
      </c>
      <c r="K9" s="1081"/>
      <c r="L9" s="1093"/>
      <c r="M9" s="1094"/>
      <c r="N9" s="1095"/>
      <c r="O9"/>
    </row>
    <row r="10" spans="1:15" ht="18" x14ac:dyDescent="0.3">
      <c r="A10" s="1384"/>
      <c r="B10" s="1082">
        <v>2</v>
      </c>
      <c r="C10" s="1082">
        <v>2</v>
      </c>
      <c r="D10" s="1082" t="s">
        <v>565</v>
      </c>
      <c r="E10" s="1091">
        <v>1.31</v>
      </c>
      <c r="F10" s="1128">
        <v>3.8</v>
      </c>
      <c r="G10" s="1044">
        <f t="shared" si="0"/>
        <v>0.34473684210526317</v>
      </c>
      <c r="H10" s="1092">
        <f t="shared" si="1"/>
        <v>2.4899999999999998</v>
      </c>
      <c r="I10" s="1087"/>
      <c r="J10" s="1375"/>
      <c r="K10" s="1080"/>
      <c r="L10" s="1096"/>
      <c r="M10" s="1094"/>
      <c r="N10" s="1095"/>
      <c r="O10"/>
    </row>
    <row r="11" spans="1:15" ht="19" thickBot="1" x14ac:dyDescent="0.35">
      <c r="A11" s="1384"/>
      <c r="B11" s="1070">
        <v>3</v>
      </c>
      <c r="C11" s="1070">
        <v>3</v>
      </c>
      <c r="D11" s="1070" t="s">
        <v>566</v>
      </c>
      <c r="E11" s="1097">
        <v>1.35</v>
      </c>
      <c r="F11" s="1129">
        <v>4</v>
      </c>
      <c r="G11" s="1071">
        <f t="shared" si="0"/>
        <v>0.33750000000000002</v>
      </c>
      <c r="H11" s="1098">
        <f t="shared" si="1"/>
        <v>2.65</v>
      </c>
      <c r="I11" s="1099">
        <f>+I9+1.1</f>
        <v>4.4000000000000004</v>
      </c>
      <c r="J11" s="1376"/>
      <c r="K11" s="1080"/>
      <c r="L11" s="1096"/>
      <c r="M11" s="1094"/>
      <c r="N11" s="1095"/>
      <c r="O11"/>
    </row>
    <row r="12" spans="1:15" ht="18" x14ac:dyDescent="0.3">
      <c r="A12" s="1384"/>
      <c r="B12" s="1082">
        <v>4</v>
      </c>
      <c r="C12" s="1082">
        <v>4</v>
      </c>
      <c r="D12" s="1082" t="s">
        <v>567</v>
      </c>
      <c r="E12" s="1091">
        <v>1.4</v>
      </c>
      <c r="F12" s="1128">
        <v>4.5</v>
      </c>
      <c r="G12" s="1044">
        <f t="shared" si="0"/>
        <v>0.31111111111111112</v>
      </c>
      <c r="H12" s="1092">
        <f t="shared" si="1"/>
        <v>3.1</v>
      </c>
      <c r="I12" s="1087">
        <f>+I11+0.01</f>
        <v>4.41</v>
      </c>
      <c r="J12" s="1377">
        <f>7/12</f>
        <v>0.58333333333333337</v>
      </c>
      <c r="K12" s="1081"/>
      <c r="L12" s="1096"/>
      <c r="M12" s="1094"/>
      <c r="N12" s="1095"/>
      <c r="O12"/>
    </row>
    <row r="13" spans="1:15" ht="18" x14ac:dyDescent="0.3">
      <c r="A13" s="1384"/>
      <c r="B13" s="1082">
        <v>5</v>
      </c>
      <c r="C13" s="1082">
        <v>5</v>
      </c>
      <c r="D13" s="1082" t="s">
        <v>568</v>
      </c>
      <c r="E13" s="1091">
        <v>1.24</v>
      </c>
      <c r="F13" s="1128">
        <v>4.5999999999999996</v>
      </c>
      <c r="G13" s="1044">
        <f t="shared" si="0"/>
        <v>0.26956521739130435</v>
      </c>
      <c r="H13" s="1092">
        <f t="shared" si="1"/>
        <v>3.3599999999999994</v>
      </c>
      <c r="I13" s="1087"/>
      <c r="J13" s="1375"/>
      <c r="K13" s="1080"/>
      <c r="L13" s="1096"/>
      <c r="M13" s="1094"/>
      <c r="N13" s="1095"/>
      <c r="O13"/>
    </row>
    <row r="14" spans="1:15" ht="18" x14ac:dyDescent="0.3">
      <c r="A14" s="1384"/>
      <c r="B14" s="1082">
        <v>6</v>
      </c>
      <c r="C14" s="1082">
        <v>6</v>
      </c>
      <c r="D14" s="1082" t="s">
        <v>569</v>
      </c>
      <c r="E14" s="1091">
        <v>1.39</v>
      </c>
      <c r="F14" s="1128">
        <v>4.7</v>
      </c>
      <c r="G14" s="1044">
        <f t="shared" si="0"/>
        <v>0.29574468085106381</v>
      </c>
      <c r="H14" s="1092">
        <f t="shared" si="1"/>
        <v>3.3100000000000005</v>
      </c>
      <c r="I14" s="1087"/>
      <c r="J14" s="1375"/>
      <c r="K14" s="1080"/>
      <c r="L14" s="1096"/>
      <c r="M14" s="1094"/>
      <c r="N14" s="1095"/>
      <c r="O14"/>
    </row>
    <row r="15" spans="1:15" ht="18" x14ac:dyDescent="0.3">
      <c r="A15" s="1384"/>
      <c r="B15" s="1082">
        <v>7</v>
      </c>
      <c r="C15" s="1082">
        <v>7</v>
      </c>
      <c r="D15" s="1082" t="s">
        <v>570</v>
      </c>
      <c r="E15" s="1091">
        <v>1.51</v>
      </c>
      <c r="F15" s="1128">
        <v>4.8</v>
      </c>
      <c r="G15" s="1044">
        <f t="shared" si="0"/>
        <v>0.31458333333333333</v>
      </c>
      <c r="H15" s="1092">
        <f t="shared" si="1"/>
        <v>3.29</v>
      </c>
      <c r="I15" s="1087"/>
      <c r="J15" s="1375"/>
      <c r="K15" s="1080"/>
      <c r="L15" s="1096"/>
      <c r="M15" s="1094"/>
      <c r="N15" s="1095"/>
      <c r="O15"/>
    </row>
    <row r="16" spans="1:15" ht="18" x14ac:dyDescent="0.3">
      <c r="A16" s="1384"/>
      <c r="B16" s="1082">
        <v>8</v>
      </c>
      <c r="C16" s="1082">
        <v>8</v>
      </c>
      <c r="D16" s="1082" t="s">
        <v>571</v>
      </c>
      <c r="E16" s="1091">
        <v>1.53</v>
      </c>
      <c r="F16" s="1128">
        <v>4.9000000000000004</v>
      </c>
      <c r="G16" s="1044">
        <f t="shared" si="0"/>
        <v>0.31224489795918364</v>
      </c>
      <c r="H16" s="1092">
        <f t="shared" si="1"/>
        <v>3.37</v>
      </c>
      <c r="I16" s="1087"/>
      <c r="J16" s="1375"/>
      <c r="K16" s="1080"/>
      <c r="L16" s="1096"/>
      <c r="M16" s="1094"/>
      <c r="N16" s="1095"/>
      <c r="O16"/>
    </row>
    <row r="17" spans="1:15" ht="18" x14ac:dyDescent="0.3">
      <c r="A17" s="1384"/>
      <c r="B17" s="1082">
        <v>9</v>
      </c>
      <c r="C17" s="1082">
        <v>9</v>
      </c>
      <c r="D17" s="1082" t="s">
        <v>572</v>
      </c>
      <c r="E17" s="1091">
        <v>1.55</v>
      </c>
      <c r="F17" s="1128">
        <v>5</v>
      </c>
      <c r="G17" s="1044">
        <f t="shared" si="0"/>
        <v>0.31</v>
      </c>
      <c r="H17" s="1092">
        <f t="shared" si="1"/>
        <v>3.45</v>
      </c>
      <c r="I17" s="1087"/>
      <c r="J17" s="1375"/>
      <c r="K17" s="1080"/>
      <c r="L17" s="1096"/>
      <c r="M17" s="1094"/>
      <c r="N17" s="1095"/>
      <c r="O17"/>
    </row>
    <row r="18" spans="1:15" ht="19" thickBot="1" x14ac:dyDescent="0.35">
      <c r="A18" s="1384"/>
      <c r="B18" s="1070">
        <v>10</v>
      </c>
      <c r="C18" s="1070">
        <v>10</v>
      </c>
      <c r="D18" s="1070" t="s">
        <v>573</v>
      </c>
      <c r="E18" s="1097">
        <v>1.59</v>
      </c>
      <c r="F18" s="1129">
        <v>5.2</v>
      </c>
      <c r="G18" s="1071">
        <f t="shared" si="0"/>
        <v>0.30576923076923079</v>
      </c>
      <c r="H18" s="1098">
        <f t="shared" si="1"/>
        <v>3.6100000000000003</v>
      </c>
      <c r="I18" s="1099">
        <f>+I11+1.1</f>
        <v>5.5</v>
      </c>
      <c r="J18" s="1376"/>
      <c r="K18" s="1080"/>
      <c r="L18" s="1096"/>
      <c r="M18" s="1094"/>
      <c r="N18" s="1095"/>
      <c r="O18"/>
    </row>
    <row r="19" spans="1:15" ht="18" x14ac:dyDescent="0.3">
      <c r="A19" s="1384"/>
      <c r="B19" s="1082">
        <v>11</v>
      </c>
      <c r="C19" s="1082">
        <v>11</v>
      </c>
      <c r="D19" s="1082" t="s">
        <v>574</v>
      </c>
      <c r="E19" s="1091">
        <v>1.83</v>
      </c>
      <c r="F19" s="1128">
        <v>6.4</v>
      </c>
      <c r="G19" s="1044">
        <f t="shared" si="0"/>
        <v>0.28593750000000001</v>
      </c>
      <c r="H19" s="1092">
        <f t="shared" si="1"/>
        <v>4.57</v>
      </c>
      <c r="I19" s="1087">
        <f>+I18+0.01</f>
        <v>5.51</v>
      </c>
      <c r="J19" s="1377">
        <f>2/12</f>
        <v>0.16666666666666666</v>
      </c>
      <c r="K19" s="1081"/>
      <c r="L19" s="1096"/>
      <c r="M19" s="1094"/>
      <c r="N19" s="1095"/>
      <c r="O19"/>
    </row>
    <row r="20" spans="1:15" ht="18" x14ac:dyDescent="0.3">
      <c r="A20" s="1384"/>
      <c r="B20" s="1082">
        <v>12</v>
      </c>
      <c r="C20" s="1082">
        <v>12</v>
      </c>
      <c r="D20" s="1082" t="s">
        <v>575</v>
      </c>
      <c r="E20" s="1091">
        <v>1.87</v>
      </c>
      <c r="F20" s="1128">
        <v>6.6</v>
      </c>
      <c r="G20" s="1044">
        <f t="shared" si="0"/>
        <v>0.28333333333333338</v>
      </c>
      <c r="H20" s="1092">
        <f t="shared" si="1"/>
        <v>4.7299999999999995</v>
      </c>
      <c r="I20" s="1087">
        <f>F20</f>
        <v>6.6</v>
      </c>
      <c r="J20" s="1375"/>
      <c r="K20" s="1080"/>
      <c r="L20" s="1096"/>
      <c r="M20" s="1094"/>
      <c r="N20" s="1095"/>
      <c r="O20"/>
    </row>
    <row r="21" spans="1:15" ht="19" x14ac:dyDescent="0.35">
      <c r="A21" s="1384"/>
      <c r="B21" s="1082"/>
      <c r="C21" s="1082"/>
      <c r="D21" s="1042" t="s">
        <v>530</v>
      </c>
      <c r="E21" s="1046">
        <f>SUM(E9:E20)/C20</f>
        <v>1.4816666666666667</v>
      </c>
      <c r="F21" s="1059">
        <f>SUM(F9:F20)/C20</f>
        <v>4.8166666666666673</v>
      </c>
      <c r="G21" s="1047">
        <f t="shared" si="0"/>
        <v>0.30761245674740478</v>
      </c>
      <c r="H21" s="1048">
        <f t="shared" si="1"/>
        <v>3.3350000000000009</v>
      </c>
      <c r="I21" s="1100"/>
      <c r="J21" s="1082"/>
      <c r="K21" s="1082"/>
      <c r="L21" s="1101">
        <f>'Formule pour le calcul D'!V10</f>
        <v>2</v>
      </c>
      <c r="M21" s="1094"/>
      <c r="N21" s="1095">
        <f>+L21*M41</f>
        <v>7616</v>
      </c>
      <c r="O21"/>
    </row>
    <row r="22" spans="1:15" ht="18" x14ac:dyDescent="0.3">
      <c r="A22" s="1384"/>
      <c r="B22" s="1082" t="s">
        <v>2</v>
      </c>
      <c r="C22" s="1082"/>
      <c r="D22" s="1082"/>
      <c r="E22" s="1091"/>
      <c r="F22" s="1091"/>
      <c r="G22" s="1044"/>
      <c r="H22" s="1049"/>
      <c r="I22" s="1087"/>
      <c r="J22" s="1082"/>
      <c r="K22" s="1082"/>
      <c r="L22" s="1096"/>
      <c r="M22" s="1094"/>
      <c r="N22" s="1095"/>
      <c r="O22"/>
    </row>
    <row r="23" spans="1:15" ht="18" x14ac:dyDescent="0.3">
      <c r="A23" s="1384"/>
      <c r="B23" s="1082"/>
      <c r="C23" s="1082"/>
      <c r="D23" s="1042" t="s">
        <v>576</v>
      </c>
      <c r="E23" s="1091"/>
      <c r="F23" s="1091"/>
      <c r="G23" s="1044"/>
      <c r="H23" s="1049"/>
      <c r="I23" s="1087"/>
      <c r="J23" s="1082"/>
      <c r="K23" s="1082"/>
      <c r="L23" s="1096"/>
      <c r="M23" s="1094"/>
      <c r="N23" s="1095"/>
      <c r="O23"/>
    </row>
    <row r="24" spans="1:15" ht="18" x14ac:dyDescent="0.3">
      <c r="A24" s="1384"/>
      <c r="B24" s="1082">
        <v>13</v>
      </c>
      <c r="C24" s="1082">
        <v>1</v>
      </c>
      <c r="D24" s="1082" t="s">
        <v>577</v>
      </c>
      <c r="E24" s="1091">
        <f>1.14*2</f>
        <v>2.2799999999999998</v>
      </c>
      <c r="F24" s="1128">
        <f>3.3*2</f>
        <v>6.6</v>
      </c>
      <c r="G24" s="1044">
        <f>E24/F24</f>
        <v>0.34545454545454546</v>
      </c>
      <c r="H24" s="1092">
        <f>F24-E24</f>
        <v>4.32</v>
      </c>
      <c r="I24" s="1087">
        <f>F24</f>
        <v>6.6</v>
      </c>
      <c r="J24" s="1374">
        <f>3/12</f>
        <v>0.25</v>
      </c>
      <c r="K24" s="1081"/>
      <c r="L24" s="1096"/>
      <c r="M24" s="1094"/>
      <c r="N24" s="1095"/>
      <c r="O24"/>
    </row>
    <row r="25" spans="1:15" ht="18" x14ac:dyDescent="0.3">
      <c r="A25" s="1384"/>
      <c r="B25" s="1082">
        <v>14</v>
      </c>
      <c r="C25" s="1082">
        <v>2</v>
      </c>
      <c r="D25" s="1082" t="s">
        <v>578</v>
      </c>
      <c r="E25" s="1091">
        <f>1.33*2</f>
        <v>2.66</v>
      </c>
      <c r="F25" s="1128">
        <f>3.8*2</f>
        <v>7.6</v>
      </c>
      <c r="G25" s="1044">
        <f>E25/F25</f>
        <v>0.35000000000000003</v>
      </c>
      <c r="H25" s="1092">
        <f>F25-E25</f>
        <v>4.9399999999999995</v>
      </c>
      <c r="I25" s="1087"/>
      <c r="J25" s="1375"/>
      <c r="K25" s="1080"/>
      <c r="L25" s="1096"/>
      <c r="M25" s="1094"/>
      <c r="N25" s="1095"/>
      <c r="O25"/>
    </row>
    <row r="26" spans="1:15" ht="19" thickBot="1" x14ac:dyDescent="0.35">
      <c r="A26" s="1384"/>
      <c r="B26" s="1070">
        <v>15</v>
      </c>
      <c r="C26" s="1070">
        <v>3</v>
      </c>
      <c r="D26" s="1070" t="s">
        <v>579</v>
      </c>
      <c r="E26" s="1097">
        <f>1.37*2</f>
        <v>2.74</v>
      </c>
      <c r="F26" s="1129">
        <f>4*2</f>
        <v>8</v>
      </c>
      <c r="G26" s="1071">
        <f>E26/F26</f>
        <v>0.34250000000000003</v>
      </c>
      <c r="H26" s="1098">
        <f>F26-E26</f>
        <v>5.26</v>
      </c>
      <c r="I26" s="1099">
        <f>+I24+2.2</f>
        <v>8.8000000000000007</v>
      </c>
      <c r="J26" s="1376"/>
      <c r="K26" s="1080"/>
      <c r="L26" s="1096"/>
      <c r="M26" s="1094"/>
      <c r="N26" s="1095"/>
      <c r="O26"/>
    </row>
    <row r="27" spans="1:15" ht="18" x14ac:dyDescent="0.3">
      <c r="A27" s="1384"/>
      <c r="B27" s="1082">
        <v>16</v>
      </c>
      <c r="C27" s="1082">
        <v>4</v>
      </c>
      <c r="D27" s="1082" t="s">
        <v>580</v>
      </c>
      <c r="E27" s="1091">
        <f>1.36*2</f>
        <v>2.72</v>
      </c>
      <c r="F27" s="1128">
        <f>4.5*2</f>
        <v>9</v>
      </c>
      <c r="G27" s="1044">
        <f t="shared" ref="G27:G34" si="2">E27/F27</f>
        <v>0.30222222222222223</v>
      </c>
      <c r="H27" s="1092">
        <f t="shared" ref="H27:H34" si="3">F27-E27</f>
        <v>6.2799999999999994</v>
      </c>
      <c r="I27" s="1087">
        <f>+I26+0.01</f>
        <v>8.81</v>
      </c>
      <c r="J27" s="1377">
        <f>7/12</f>
        <v>0.58333333333333337</v>
      </c>
      <c r="K27" s="1081"/>
      <c r="L27" s="1096"/>
      <c r="M27" s="1094"/>
      <c r="N27" s="1095"/>
      <c r="O27"/>
    </row>
    <row r="28" spans="1:15" ht="18" x14ac:dyDescent="0.3">
      <c r="A28" s="1384"/>
      <c r="B28" s="1082">
        <v>17</v>
      </c>
      <c r="C28" s="1082">
        <v>5</v>
      </c>
      <c r="D28" s="1082" t="s">
        <v>581</v>
      </c>
      <c r="E28" s="1091">
        <f>1.38*2</f>
        <v>2.76</v>
      </c>
      <c r="F28" s="1128">
        <f>4.6*2</f>
        <v>9.1999999999999993</v>
      </c>
      <c r="G28" s="1044">
        <f t="shared" si="2"/>
        <v>0.3</v>
      </c>
      <c r="H28" s="1092">
        <f t="shared" si="3"/>
        <v>6.4399999999999995</v>
      </c>
      <c r="I28" s="1087"/>
      <c r="J28" s="1375"/>
      <c r="K28" s="1080"/>
      <c r="L28" s="1096"/>
      <c r="M28" s="1094"/>
      <c r="N28" s="1095"/>
      <c r="O28"/>
    </row>
    <row r="29" spans="1:15" ht="18" x14ac:dyDescent="0.3">
      <c r="A29" s="1384"/>
      <c r="B29" s="1082">
        <v>18</v>
      </c>
      <c r="C29" s="1082">
        <v>6</v>
      </c>
      <c r="D29" s="1082" t="s">
        <v>582</v>
      </c>
      <c r="E29" s="1091">
        <f>1.4*2</f>
        <v>2.8</v>
      </c>
      <c r="F29" s="1128">
        <f>4.7*2</f>
        <v>9.4</v>
      </c>
      <c r="G29" s="1044">
        <f t="shared" si="2"/>
        <v>0.2978723404255319</v>
      </c>
      <c r="H29" s="1092">
        <f t="shared" si="3"/>
        <v>6.6000000000000005</v>
      </c>
      <c r="I29" s="1087"/>
      <c r="J29" s="1375"/>
      <c r="K29" s="1080"/>
      <c r="L29" s="1096"/>
      <c r="M29" s="1094"/>
      <c r="N29" s="1095"/>
      <c r="O29"/>
    </row>
    <row r="30" spans="1:15" ht="18" x14ac:dyDescent="0.3">
      <c r="A30" s="1384"/>
      <c r="B30" s="1082">
        <v>19</v>
      </c>
      <c r="C30" s="1082">
        <v>7</v>
      </c>
      <c r="D30" s="1082" t="s">
        <v>583</v>
      </c>
      <c r="E30" s="1091">
        <f>1.41*2</f>
        <v>2.82</v>
      </c>
      <c r="F30" s="1128">
        <f>4.8*2</f>
        <v>9.6</v>
      </c>
      <c r="G30" s="1044">
        <f t="shared" si="2"/>
        <v>0.29375000000000001</v>
      </c>
      <c r="H30" s="1092">
        <f t="shared" si="3"/>
        <v>6.7799999999999994</v>
      </c>
      <c r="I30" s="1087"/>
      <c r="J30" s="1375"/>
      <c r="K30" s="1080"/>
      <c r="L30" s="1096"/>
      <c r="M30" s="1094"/>
      <c r="N30" s="1095"/>
      <c r="O30"/>
    </row>
    <row r="31" spans="1:15" ht="18" x14ac:dyDescent="0.3">
      <c r="A31" s="1384"/>
      <c r="B31" s="1082">
        <v>20</v>
      </c>
      <c r="C31" s="1082">
        <v>8</v>
      </c>
      <c r="D31" s="1082" t="s">
        <v>584</v>
      </c>
      <c r="E31" s="1091">
        <f>1.43*2</f>
        <v>2.86</v>
      </c>
      <c r="F31" s="1128">
        <f>4.9*2</f>
        <v>9.8000000000000007</v>
      </c>
      <c r="G31" s="1044">
        <f t="shared" si="2"/>
        <v>0.2918367346938775</v>
      </c>
      <c r="H31" s="1092">
        <f t="shared" si="3"/>
        <v>6.9400000000000013</v>
      </c>
      <c r="I31" s="1087"/>
      <c r="J31" s="1375"/>
      <c r="K31" s="1080"/>
      <c r="L31" s="1096"/>
      <c r="M31" s="1094"/>
      <c r="N31" s="1095"/>
      <c r="O31"/>
    </row>
    <row r="32" spans="1:15" ht="18" x14ac:dyDescent="0.3">
      <c r="A32" s="1384"/>
      <c r="B32" s="1082">
        <v>21</v>
      </c>
      <c r="C32" s="1082">
        <v>9</v>
      </c>
      <c r="D32" s="1082" t="s">
        <v>585</v>
      </c>
      <c r="E32" s="1091">
        <f>1.45*2</f>
        <v>2.9</v>
      </c>
      <c r="F32" s="1128">
        <f>5*2</f>
        <v>10</v>
      </c>
      <c r="G32" s="1044">
        <f t="shared" si="2"/>
        <v>0.28999999999999998</v>
      </c>
      <c r="H32" s="1092">
        <f t="shared" si="3"/>
        <v>7.1</v>
      </c>
      <c r="I32" s="1087"/>
      <c r="J32" s="1375"/>
      <c r="K32" s="1080"/>
      <c r="L32" s="1096"/>
      <c r="M32" s="1094"/>
      <c r="N32" s="1095"/>
      <c r="O32"/>
    </row>
    <row r="33" spans="1:20" ht="19" thickBot="1" x14ac:dyDescent="0.35">
      <c r="A33" s="1384"/>
      <c r="B33" s="1070">
        <v>22</v>
      </c>
      <c r="C33" s="1070">
        <v>10</v>
      </c>
      <c r="D33" s="1070" t="s">
        <v>586</v>
      </c>
      <c r="E33" s="1097">
        <f>1.49*2</f>
        <v>2.98</v>
      </c>
      <c r="F33" s="1129">
        <f>5.2*2</f>
        <v>10.4</v>
      </c>
      <c r="G33" s="1071">
        <f t="shared" si="2"/>
        <v>0.28653846153846152</v>
      </c>
      <c r="H33" s="1098">
        <f t="shared" si="3"/>
        <v>7.42</v>
      </c>
      <c r="I33" s="1099">
        <f>+I26+2.2</f>
        <v>11</v>
      </c>
      <c r="J33" s="1376"/>
      <c r="K33" s="1080"/>
      <c r="L33" s="1096"/>
      <c r="M33" s="1094"/>
      <c r="N33" s="1095"/>
      <c r="O33"/>
    </row>
    <row r="34" spans="1:20" ht="18" x14ac:dyDescent="0.3">
      <c r="A34" s="1384"/>
      <c r="B34" s="1082">
        <v>23</v>
      </c>
      <c r="C34" s="1082">
        <v>11</v>
      </c>
      <c r="D34" s="1082" t="s">
        <v>587</v>
      </c>
      <c r="E34" s="1091">
        <f>1.59*2</f>
        <v>3.18</v>
      </c>
      <c r="F34" s="1128">
        <f>5.8*2</f>
        <v>11.6</v>
      </c>
      <c r="G34" s="1044">
        <f t="shared" si="2"/>
        <v>0.27413793103448281</v>
      </c>
      <c r="H34" s="1092">
        <f t="shared" si="3"/>
        <v>8.42</v>
      </c>
      <c r="I34" s="1087">
        <f>+I33+0.01</f>
        <v>11.01</v>
      </c>
      <c r="J34" s="1377">
        <f>2/12</f>
        <v>0.16666666666666666</v>
      </c>
      <c r="K34" s="1081"/>
      <c r="L34" s="1096"/>
      <c r="M34" s="1094"/>
      <c r="N34" s="1095"/>
      <c r="O34"/>
    </row>
    <row r="35" spans="1:20" ht="18" x14ac:dyDescent="0.3">
      <c r="A35" s="1384"/>
      <c r="B35" s="1082">
        <v>24</v>
      </c>
      <c r="C35" s="1082">
        <v>12</v>
      </c>
      <c r="D35" s="1082" t="s">
        <v>588</v>
      </c>
      <c r="E35" s="1091">
        <f>1.74*2</f>
        <v>3.48</v>
      </c>
      <c r="F35" s="1128">
        <f>6.6*2</f>
        <v>13.2</v>
      </c>
      <c r="G35" s="1044">
        <f>E35/F35</f>
        <v>0.26363636363636367</v>
      </c>
      <c r="H35" s="1092">
        <f>F35-E35</f>
        <v>9.7199999999999989</v>
      </c>
      <c r="I35" s="1087">
        <f>F35</f>
        <v>13.2</v>
      </c>
      <c r="J35" s="1375"/>
      <c r="K35" s="1080"/>
      <c r="L35" s="1096"/>
      <c r="M35" s="1094"/>
      <c r="N35" s="1095"/>
      <c r="O35"/>
    </row>
    <row r="36" spans="1:20" ht="19" x14ac:dyDescent="0.35">
      <c r="A36" s="1384"/>
      <c r="B36" s="1082"/>
      <c r="C36" s="1082"/>
      <c r="D36" s="1042" t="s">
        <v>529</v>
      </c>
      <c r="E36" s="1046">
        <f>SUM(E24:E35)/C35</f>
        <v>2.8483333333333332</v>
      </c>
      <c r="F36" s="1046">
        <f>SUM(F24:F35)/C35</f>
        <v>9.5333333333333332</v>
      </c>
      <c r="G36" s="1050">
        <f>E36/F36</f>
        <v>0.29877622377622376</v>
      </c>
      <c r="H36" s="1048">
        <f>F36-E36</f>
        <v>6.6850000000000005</v>
      </c>
      <c r="I36" s="1100"/>
      <c r="J36" s="1082"/>
      <c r="K36" s="1082"/>
      <c r="L36" s="1096">
        <f>'Formule pour le calcul D'!AH10</f>
        <v>1</v>
      </c>
      <c r="M36" s="1094"/>
      <c r="N36" s="1095">
        <f>+L36*M41</f>
        <v>3808</v>
      </c>
      <c r="O36"/>
    </row>
    <row r="37" spans="1:20" ht="19" thickBot="1" x14ac:dyDescent="0.35">
      <c r="A37" s="1384"/>
      <c r="B37" s="1082"/>
      <c r="C37" s="1082"/>
      <c r="D37" s="1082"/>
      <c r="E37" s="1091"/>
      <c r="F37" s="1091"/>
      <c r="G37" s="1043"/>
      <c r="H37" s="1049"/>
      <c r="I37" s="1082"/>
      <c r="J37" s="1082"/>
      <c r="K37" s="1082"/>
      <c r="L37" s="1096"/>
      <c r="M37" s="1094"/>
      <c r="N37" s="1095"/>
      <c r="O37"/>
    </row>
    <row r="38" spans="1:20" ht="21" thickTop="1" thickBot="1" x14ac:dyDescent="0.4">
      <c r="A38" s="1384"/>
      <c r="B38" s="1082"/>
      <c r="C38" s="1051"/>
      <c r="D38" s="1052"/>
      <c r="E38" s="1102"/>
      <c r="F38" s="1102"/>
      <c r="G38" s="1053"/>
      <c r="H38" s="1103"/>
      <c r="I38" s="1104"/>
      <c r="J38" s="1082"/>
      <c r="K38" s="1082"/>
      <c r="L38" s="1096"/>
      <c r="M38" s="1094"/>
      <c r="N38" s="1095"/>
      <c r="O38"/>
      <c r="P38" s="1054"/>
      <c r="Q38" s="1054"/>
      <c r="R38" s="1054"/>
      <c r="S38" s="1054"/>
      <c r="T38" s="1054"/>
    </row>
    <row r="39" spans="1:20" ht="20" thickTop="1" thickBot="1" x14ac:dyDescent="0.35">
      <c r="A39" s="1384"/>
      <c r="B39" s="1082"/>
      <c r="C39" s="1055"/>
      <c r="D39" s="1042"/>
      <c r="E39" s="1105" t="s">
        <v>232</v>
      </c>
      <c r="F39" s="1105" t="s">
        <v>48</v>
      </c>
      <c r="G39" s="1056" t="s">
        <v>532</v>
      </c>
      <c r="H39" s="1106" t="s">
        <v>236</v>
      </c>
      <c r="I39" s="1107"/>
      <c r="J39" s="1082"/>
      <c r="K39" s="1082"/>
      <c r="L39" s="1096"/>
      <c r="M39" s="1094"/>
      <c r="N39" s="1095"/>
      <c r="O39"/>
      <c r="P39" s="1054"/>
      <c r="Q39" s="1054"/>
      <c r="R39" s="1054"/>
      <c r="S39" s="1054"/>
      <c r="T39" s="1054"/>
    </row>
    <row r="40" spans="1:20" ht="19" thickTop="1" x14ac:dyDescent="0.3">
      <c r="A40" s="1384"/>
      <c r="B40" s="1082"/>
      <c r="C40" s="1055"/>
      <c r="D40" s="1057" t="s">
        <v>527</v>
      </c>
      <c r="E40" s="1091"/>
      <c r="F40" s="1091"/>
      <c r="G40" s="1043"/>
      <c r="H40" s="1049"/>
      <c r="I40" s="1058"/>
      <c r="J40" s="1082"/>
      <c r="K40" s="1082"/>
      <c r="L40" s="1096"/>
      <c r="M40" s="1094"/>
      <c r="N40" s="1095"/>
      <c r="O40"/>
      <c r="P40" s="1054"/>
      <c r="Q40" s="1054"/>
      <c r="R40" s="1054"/>
      <c r="S40" s="1054"/>
      <c r="T40" s="1054"/>
    </row>
    <row r="41" spans="1:20" ht="19" x14ac:dyDescent="0.35">
      <c r="A41" s="1384"/>
      <c r="B41" s="1082"/>
      <c r="C41" s="1055"/>
      <c r="D41" s="1042" t="s">
        <v>531</v>
      </c>
      <c r="E41" s="1059">
        <f>+(E9+E10+E11+E12+E13+E14+E15+E16+E17+E18+E19+E20+E24+E25+E26+E27+E28+E29+E30+E31+E32+E33+E34+E35)/B35</f>
        <v>2.1649999999999996</v>
      </c>
      <c r="F41" s="1059">
        <f>+(F9+F10+F11+F12+F13+F14+F15+F16+F17+F18+F19+F20+F24+F25+F26+F27+F28+F29+F30+F31+F32+F33+F34+F35)/B35</f>
        <v>7.1749999999999998</v>
      </c>
      <c r="G41" s="1060">
        <f>E41/F41</f>
        <v>0.30174216027874562</v>
      </c>
      <c r="H41" s="1061">
        <f>F41-E41</f>
        <v>5.01</v>
      </c>
      <c r="I41" s="1108"/>
      <c r="J41" s="1082"/>
      <c r="K41" s="1082"/>
      <c r="L41" s="1096">
        <f>+L21+L36</f>
        <v>3</v>
      </c>
      <c r="M41" s="1121">
        <f>'% Occupation'!D19</f>
        <v>3808</v>
      </c>
      <c r="N41" s="1095">
        <f>+N21+N36</f>
        <v>11424</v>
      </c>
      <c r="O41"/>
      <c r="P41" s="1054"/>
      <c r="Q41" s="1054"/>
      <c r="R41" s="1054"/>
      <c r="S41" s="1054"/>
      <c r="T41" s="1054"/>
    </row>
    <row r="42" spans="1:20" ht="18" x14ac:dyDescent="0.3">
      <c r="A42" s="1384"/>
      <c r="B42" s="1082"/>
      <c r="C42" s="1055"/>
      <c r="D42" s="1082"/>
      <c r="E42" s="1109"/>
      <c r="F42" s="1109"/>
      <c r="G42" s="1045"/>
      <c r="H42" s="1062"/>
      <c r="I42" s="1063"/>
      <c r="J42" s="1082"/>
      <c r="K42" s="1082"/>
      <c r="L42" s="1096"/>
      <c r="M42" s="1094"/>
      <c r="N42" s="1095"/>
      <c r="O42"/>
      <c r="P42" s="1054"/>
      <c r="Q42" s="1054"/>
      <c r="R42" s="1054"/>
      <c r="S42" s="1054"/>
      <c r="T42" s="1054"/>
    </row>
    <row r="43" spans="1:20" ht="19" thickBot="1" x14ac:dyDescent="0.35">
      <c r="A43" s="1384"/>
      <c r="B43" s="1082"/>
      <c r="C43" s="1072"/>
      <c r="D43" s="1073"/>
      <c r="E43" s="1110"/>
      <c r="F43" s="1110"/>
      <c r="G43" s="1074"/>
      <c r="H43" s="1075"/>
      <c r="I43" s="1076"/>
      <c r="J43" s="1082"/>
      <c r="K43" s="1082"/>
      <c r="L43" s="1111"/>
      <c r="M43" s="1112"/>
      <c r="N43" s="1113"/>
      <c r="O43"/>
      <c r="P43" s="1054"/>
      <c r="Q43" s="1054"/>
      <c r="R43" s="1054"/>
      <c r="S43" s="1054"/>
      <c r="T43" s="1054"/>
    </row>
    <row r="44" spans="1:20" ht="19" thickTop="1" x14ac:dyDescent="0.3">
      <c r="A44" s="1384"/>
      <c r="B44" s="1082"/>
      <c r="C44" s="1082"/>
      <c r="D44" s="1082"/>
      <c r="E44" s="1082"/>
      <c r="F44" s="1082" t="s">
        <v>2</v>
      </c>
      <c r="G44" s="1082"/>
      <c r="H44" s="1082"/>
      <c r="I44" s="1082"/>
      <c r="J44" s="1082"/>
      <c r="K44" s="1082"/>
      <c r="L44" s="1085"/>
      <c r="M44" s="1114"/>
      <c r="N44" s="1086"/>
      <c r="O44"/>
      <c r="P44" s="1054"/>
      <c r="Q44" s="1054"/>
      <c r="R44" s="1054"/>
      <c r="S44" s="1054"/>
      <c r="T44" s="1054"/>
    </row>
    <row r="45" spans="1:20" ht="23" x14ac:dyDescent="0.3">
      <c r="A45" s="1384"/>
      <c r="D45" s="1038" t="s">
        <v>551</v>
      </c>
      <c r="F45" s="1084"/>
      <c r="L45" s="1085"/>
      <c r="M45" s="1114"/>
      <c r="N45" s="1086"/>
      <c r="O45"/>
      <c r="P45" s="1054"/>
      <c r="Q45" s="1054"/>
      <c r="R45" s="1054"/>
      <c r="S45" s="1054"/>
      <c r="T45" s="1054"/>
    </row>
    <row r="46" spans="1:20" ht="24" thickBot="1" x14ac:dyDescent="0.35">
      <c r="A46" s="1384"/>
      <c r="D46" s="1039"/>
      <c r="L46" s="1085"/>
      <c r="M46" s="1114"/>
      <c r="N46" s="1086"/>
      <c r="O46"/>
    </row>
    <row r="47" spans="1:20" ht="23" customHeight="1" thickTop="1" x14ac:dyDescent="0.25">
      <c r="A47" s="1384"/>
      <c r="D47" s="1039"/>
      <c r="E47" s="1378" t="str">
        <f>E4</f>
        <v>Coûts des ressources alimentaires pour chaque produit offert (voir recettes standardisées)</v>
      </c>
      <c r="F47" s="1378" t="str">
        <f>F4</f>
        <v>Prix de vente par produit offert</v>
      </c>
      <c r="G47" s="1378" t="str">
        <f>G4</f>
        <v xml:space="preserve">« Food &amp; Beverage Cost » </v>
      </c>
      <c r="H47" s="1378" t="str">
        <f>+H4</f>
        <v>Marge brute gagnée sur la vente de chaque produit offert</v>
      </c>
      <c r="I47" s="1040"/>
      <c r="L47" s="1369" t="s">
        <v>592</v>
      </c>
      <c r="M47" s="1369" t="s">
        <v>593</v>
      </c>
      <c r="N47" s="1369" t="s">
        <v>594</v>
      </c>
      <c r="O47"/>
    </row>
    <row r="48" spans="1:20" ht="22" x14ac:dyDescent="0.25">
      <c r="A48" s="1384"/>
      <c r="D48" s="1039"/>
      <c r="E48" s="1379"/>
      <c r="F48" s="1381"/>
      <c r="G48" s="1381"/>
      <c r="H48" s="1381"/>
      <c r="I48" s="1041"/>
      <c r="L48" s="1370"/>
      <c r="M48" s="1372"/>
      <c r="N48" s="1370"/>
      <c r="O48"/>
    </row>
    <row r="49" spans="1:15" ht="14" customHeight="1" thickBot="1" x14ac:dyDescent="0.2">
      <c r="A49" s="1384"/>
      <c r="E49" s="1380"/>
      <c r="F49" s="1382"/>
      <c r="G49" s="1382"/>
      <c r="H49" s="1382"/>
      <c r="I49" s="1041"/>
      <c r="L49" s="1371"/>
      <c r="M49" s="1373"/>
      <c r="N49" s="1371"/>
      <c r="O49"/>
    </row>
    <row r="50" spans="1:15" ht="18" thickTop="1" thickBot="1" x14ac:dyDescent="0.35">
      <c r="A50" s="1384"/>
      <c r="B50" s="161" t="s">
        <v>2</v>
      </c>
      <c r="E50" s="1084"/>
      <c r="F50" s="1084"/>
      <c r="G50" s="314"/>
      <c r="L50" s="1085"/>
      <c r="M50" s="1114"/>
      <c r="N50" s="1086"/>
      <c r="O50"/>
    </row>
    <row r="51" spans="1:15" ht="19" thickTop="1" x14ac:dyDescent="0.3">
      <c r="A51" s="1384"/>
      <c r="B51" s="1082"/>
      <c r="C51" s="1082"/>
      <c r="D51" s="1042" t="str">
        <f t="shared" ref="D51:F64" si="4">D8</f>
        <v>Les Petite Gâteries</v>
      </c>
      <c r="E51" s="1087"/>
      <c r="F51" s="1087"/>
      <c r="G51" s="1043"/>
      <c r="H51" s="1082"/>
      <c r="I51" s="1082"/>
      <c r="J51" s="1082"/>
      <c r="K51" s="1082"/>
      <c r="L51" s="1088"/>
      <c r="M51" s="1089"/>
      <c r="N51" s="1090"/>
      <c r="O51"/>
    </row>
    <row r="52" spans="1:15" ht="18" x14ac:dyDescent="0.3">
      <c r="A52" s="1384"/>
      <c r="B52" s="1082">
        <f t="shared" ref="B52:C63" si="5">B9</f>
        <v>1</v>
      </c>
      <c r="C52" s="1082">
        <f t="shared" si="5"/>
        <v>1</v>
      </c>
      <c r="D52" s="1082" t="str">
        <f t="shared" si="4"/>
        <v>Petite Gâterie 1</v>
      </c>
      <c r="E52" s="1091">
        <f t="shared" si="4"/>
        <v>1.21</v>
      </c>
      <c r="F52" s="1130">
        <f t="shared" si="4"/>
        <v>3.3</v>
      </c>
      <c r="G52" s="1044">
        <f t="shared" ref="G52:G64" si="6">E52/F52</f>
        <v>0.3666666666666667</v>
      </c>
      <c r="H52" s="1092">
        <f t="shared" ref="H52:H64" si="7">F52-E52</f>
        <v>2.09</v>
      </c>
      <c r="I52" s="1087"/>
      <c r="J52" s="1082"/>
      <c r="K52" s="1082"/>
      <c r="L52" s="1093"/>
      <c r="M52" s="1094"/>
      <c r="N52" s="1095"/>
      <c r="O52"/>
    </row>
    <row r="53" spans="1:15" ht="18" x14ac:dyDescent="0.3">
      <c r="A53" s="1384"/>
      <c r="B53" s="1082">
        <f t="shared" si="5"/>
        <v>2</v>
      </c>
      <c r="C53" s="1082">
        <f t="shared" si="5"/>
        <v>2</v>
      </c>
      <c r="D53" s="1082" t="str">
        <f t="shared" si="4"/>
        <v>Petite Gâterie 2</v>
      </c>
      <c r="E53" s="1091">
        <f t="shared" si="4"/>
        <v>1.31</v>
      </c>
      <c r="F53" s="1128">
        <f t="shared" si="4"/>
        <v>3.8</v>
      </c>
      <c r="G53" s="1044">
        <f t="shared" si="6"/>
        <v>0.34473684210526317</v>
      </c>
      <c r="H53" s="1092">
        <f t="shared" si="7"/>
        <v>2.4899999999999998</v>
      </c>
      <c r="I53" s="1087"/>
      <c r="J53" s="1082"/>
      <c r="K53" s="1082"/>
      <c r="L53" s="1096"/>
      <c r="M53" s="1094"/>
      <c r="N53" s="1095"/>
      <c r="O53"/>
    </row>
    <row r="54" spans="1:15" ht="18" x14ac:dyDescent="0.3">
      <c r="A54" s="1384"/>
      <c r="B54" s="1082">
        <f t="shared" si="5"/>
        <v>3</v>
      </c>
      <c r="C54" s="1082">
        <f t="shared" si="5"/>
        <v>3</v>
      </c>
      <c r="D54" s="1082" t="str">
        <f t="shared" si="4"/>
        <v>Petite Gâterie 3</v>
      </c>
      <c r="E54" s="1091">
        <f t="shared" si="4"/>
        <v>1.35</v>
      </c>
      <c r="F54" s="1128">
        <f t="shared" si="4"/>
        <v>4</v>
      </c>
      <c r="G54" s="1044">
        <f t="shared" si="6"/>
        <v>0.33750000000000002</v>
      </c>
      <c r="H54" s="1092">
        <f t="shared" si="7"/>
        <v>2.65</v>
      </c>
      <c r="I54" s="1087"/>
      <c r="J54" s="1082"/>
      <c r="K54" s="1082"/>
      <c r="L54" s="1096"/>
      <c r="M54" s="1094"/>
      <c r="N54" s="1095"/>
      <c r="O54"/>
    </row>
    <row r="55" spans="1:15" ht="18" x14ac:dyDescent="0.3">
      <c r="A55" s="1384"/>
      <c r="B55" s="1082">
        <f t="shared" si="5"/>
        <v>4</v>
      </c>
      <c r="C55" s="1082">
        <f t="shared" si="5"/>
        <v>4</v>
      </c>
      <c r="D55" s="1082" t="str">
        <f t="shared" si="4"/>
        <v>Petite Gâterie 4</v>
      </c>
      <c r="E55" s="1091">
        <f t="shared" si="4"/>
        <v>1.4</v>
      </c>
      <c r="F55" s="1128">
        <f t="shared" si="4"/>
        <v>4.5</v>
      </c>
      <c r="G55" s="1044">
        <f t="shared" si="6"/>
        <v>0.31111111111111112</v>
      </c>
      <c r="H55" s="1092">
        <f t="shared" si="7"/>
        <v>3.1</v>
      </c>
      <c r="I55" s="1087"/>
      <c r="J55" s="1082"/>
      <c r="K55" s="1082"/>
      <c r="L55" s="1096"/>
      <c r="M55" s="1094"/>
      <c r="N55" s="1095"/>
      <c r="O55"/>
    </row>
    <row r="56" spans="1:15" ht="18" x14ac:dyDescent="0.3">
      <c r="A56" s="1384"/>
      <c r="B56" s="1082">
        <f t="shared" si="5"/>
        <v>5</v>
      </c>
      <c r="C56" s="1082">
        <f t="shared" si="5"/>
        <v>5</v>
      </c>
      <c r="D56" s="1082" t="str">
        <f t="shared" si="4"/>
        <v>Petite Gâterie 5</v>
      </c>
      <c r="E56" s="1091">
        <f t="shared" si="4"/>
        <v>1.24</v>
      </c>
      <c r="F56" s="1128">
        <f t="shared" si="4"/>
        <v>4.5999999999999996</v>
      </c>
      <c r="G56" s="1044">
        <f t="shared" si="6"/>
        <v>0.26956521739130435</v>
      </c>
      <c r="H56" s="1092">
        <f t="shared" si="7"/>
        <v>3.3599999999999994</v>
      </c>
      <c r="I56" s="1087"/>
      <c r="J56" s="1082"/>
      <c r="K56" s="1082"/>
      <c r="L56" s="1096"/>
      <c r="M56" s="1094"/>
      <c r="N56" s="1095"/>
      <c r="O56"/>
    </row>
    <row r="57" spans="1:15" ht="18" x14ac:dyDescent="0.3">
      <c r="A57" s="1384"/>
      <c r="B57" s="1082">
        <f t="shared" si="5"/>
        <v>6</v>
      </c>
      <c r="C57" s="1082">
        <f t="shared" si="5"/>
        <v>6</v>
      </c>
      <c r="D57" s="1082" t="str">
        <f t="shared" si="4"/>
        <v>Petite Gâterie 6</v>
      </c>
      <c r="E57" s="1091">
        <f t="shared" si="4"/>
        <v>1.39</v>
      </c>
      <c r="F57" s="1128">
        <f t="shared" si="4"/>
        <v>4.7</v>
      </c>
      <c r="G57" s="1044">
        <f t="shared" si="6"/>
        <v>0.29574468085106381</v>
      </c>
      <c r="H57" s="1092">
        <f t="shared" si="7"/>
        <v>3.3100000000000005</v>
      </c>
      <c r="I57" s="1087"/>
      <c r="J57" s="1082"/>
      <c r="K57" s="1082"/>
      <c r="L57" s="1096"/>
      <c r="M57" s="1094"/>
      <c r="N57" s="1095"/>
      <c r="O57"/>
    </row>
    <row r="58" spans="1:15" ht="18" x14ac:dyDescent="0.3">
      <c r="A58" s="1384"/>
      <c r="B58" s="1082">
        <f t="shared" si="5"/>
        <v>7</v>
      </c>
      <c r="C58" s="1082">
        <f t="shared" si="5"/>
        <v>7</v>
      </c>
      <c r="D58" s="1082" t="str">
        <f t="shared" si="4"/>
        <v>Petite Gâterie 7</v>
      </c>
      <c r="E58" s="1091">
        <f t="shared" si="4"/>
        <v>1.51</v>
      </c>
      <c r="F58" s="1128">
        <f t="shared" si="4"/>
        <v>4.8</v>
      </c>
      <c r="G58" s="1044">
        <f t="shared" si="6"/>
        <v>0.31458333333333333</v>
      </c>
      <c r="H58" s="1092">
        <f t="shared" si="7"/>
        <v>3.29</v>
      </c>
      <c r="I58" s="1087"/>
      <c r="J58" s="1082"/>
      <c r="K58" s="1082"/>
      <c r="L58" s="1096"/>
      <c r="M58" s="1094"/>
      <c r="N58" s="1095"/>
      <c r="O58"/>
    </row>
    <row r="59" spans="1:15" ht="18" x14ac:dyDescent="0.3">
      <c r="A59" s="1384"/>
      <c r="B59" s="1082">
        <f t="shared" si="5"/>
        <v>8</v>
      </c>
      <c r="C59" s="1082">
        <f t="shared" si="5"/>
        <v>8</v>
      </c>
      <c r="D59" s="1082" t="str">
        <f t="shared" si="4"/>
        <v>Petite Gâterie 8</v>
      </c>
      <c r="E59" s="1091">
        <f t="shared" si="4"/>
        <v>1.53</v>
      </c>
      <c r="F59" s="1128">
        <f t="shared" si="4"/>
        <v>4.9000000000000004</v>
      </c>
      <c r="G59" s="1044">
        <f t="shared" si="6"/>
        <v>0.31224489795918364</v>
      </c>
      <c r="H59" s="1092">
        <f t="shared" si="7"/>
        <v>3.37</v>
      </c>
      <c r="I59" s="1087"/>
      <c r="J59" s="1082"/>
      <c r="K59" s="1082"/>
      <c r="L59" s="1096"/>
      <c r="M59" s="1094"/>
      <c r="N59" s="1095"/>
      <c r="O59"/>
    </row>
    <row r="60" spans="1:15" ht="18" x14ac:dyDescent="0.3">
      <c r="A60" s="1384"/>
      <c r="B60" s="1082">
        <f t="shared" si="5"/>
        <v>9</v>
      </c>
      <c r="C60" s="1082">
        <f t="shared" si="5"/>
        <v>9</v>
      </c>
      <c r="D60" s="1082" t="str">
        <f t="shared" si="4"/>
        <v>Petite Gâterie 9</v>
      </c>
      <c r="E60" s="1091">
        <f t="shared" si="4"/>
        <v>1.55</v>
      </c>
      <c r="F60" s="1128">
        <f t="shared" si="4"/>
        <v>5</v>
      </c>
      <c r="G60" s="1044">
        <f t="shared" si="6"/>
        <v>0.31</v>
      </c>
      <c r="H60" s="1092">
        <f t="shared" si="7"/>
        <v>3.45</v>
      </c>
      <c r="I60" s="1087"/>
      <c r="J60" s="1082"/>
      <c r="K60" s="1082"/>
      <c r="L60" s="1096"/>
      <c r="M60" s="1094"/>
      <c r="N60" s="1095"/>
      <c r="O60"/>
    </row>
    <row r="61" spans="1:15" ht="18" x14ac:dyDescent="0.3">
      <c r="A61" s="1384"/>
      <c r="B61" s="1082">
        <f t="shared" si="5"/>
        <v>10</v>
      </c>
      <c r="C61" s="1082">
        <f t="shared" si="5"/>
        <v>10</v>
      </c>
      <c r="D61" s="1082" t="str">
        <f t="shared" si="4"/>
        <v>Petite Gâterie 10</v>
      </c>
      <c r="E61" s="1091">
        <f t="shared" si="4"/>
        <v>1.59</v>
      </c>
      <c r="F61" s="1128">
        <f t="shared" si="4"/>
        <v>5.2</v>
      </c>
      <c r="G61" s="1044">
        <f t="shared" si="6"/>
        <v>0.30576923076923079</v>
      </c>
      <c r="H61" s="1092">
        <f t="shared" si="7"/>
        <v>3.6100000000000003</v>
      </c>
      <c r="I61" s="1087"/>
      <c r="J61" s="1082"/>
      <c r="K61" s="1082"/>
      <c r="L61" s="1096"/>
      <c r="M61" s="1094"/>
      <c r="N61" s="1095"/>
      <c r="O61"/>
    </row>
    <row r="62" spans="1:15" ht="18" x14ac:dyDescent="0.3">
      <c r="A62" s="1384"/>
      <c r="B62" s="1082">
        <f t="shared" si="5"/>
        <v>11</v>
      </c>
      <c r="C62" s="1082">
        <f t="shared" si="5"/>
        <v>11</v>
      </c>
      <c r="D62" s="1082" t="str">
        <f t="shared" si="4"/>
        <v>Petite Gâterie 11</v>
      </c>
      <c r="E62" s="1091">
        <f t="shared" si="4"/>
        <v>1.83</v>
      </c>
      <c r="F62" s="1128">
        <f t="shared" si="4"/>
        <v>6.4</v>
      </c>
      <c r="G62" s="1044">
        <f t="shared" si="6"/>
        <v>0.28593750000000001</v>
      </c>
      <c r="H62" s="1092">
        <f t="shared" si="7"/>
        <v>4.57</v>
      </c>
      <c r="I62" s="1087"/>
      <c r="J62" s="1082"/>
      <c r="K62" s="1082"/>
      <c r="L62" s="1096"/>
      <c r="M62" s="1094"/>
      <c r="N62" s="1095"/>
      <c r="O62"/>
    </row>
    <row r="63" spans="1:15" ht="18" x14ac:dyDescent="0.3">
      <c r="A63" s="1384"/>
      <c r="B63" s="1082">
        <f t="shared" si="5"/>
        <v>12</v>
      </c>
      <c r="C63" s="1082">
        <f t="shared" si="5"/>
        <v>12</v>
      </c>
      <c r="D63" s="1082" t="str">
        <f t="shared" si="4"/>
        <v>Petite Gâterie 12</v>
      </c>
      <c r="E63" s="1091">
        <f t="shared" si="4"/>
        <v>1.87</v>
      </c>
      <c r="F63" s="1128">
        <f t="shared" si="4"/>
        <v>6.6</v>
      </c>
      <c r="G63" s="1044">
        <f t="shared" si="6"/>
        <v>0.28333333333333338</v>
      </c>
      <c r="H63" s="1092">
        <f t="shared" si="7"/>
        <v>4.7299999999999995</v>
      </c>
      <c r="I63" s="1087"/>
      <c r="J63" s="1082"/>
      <c r="K63" s="1082"/>
      <c r="L63" s="1096"/>
      <c r="M63" s="1094"/>
      <c r="N63" s="1095"/>
      <c r="O63"/>
    </row>
    <row r="64" spans="1:15" ht="19" x14ac:dyDescent="0.35">
      <c r="A64" s="1384"/>
      <c r="B64" s="1082"/>
      <c r="C64" s="1082"/>
      <c r="D64" s="1042" t="str">
        <f t="shared" si="4"/>
        <v>CmO—PmO—Food Cost—BmO</v>
      </c>
      <c r="E64" s="1046">
        <f>SUM(E52:E63)/C63</f>
        <v>1.4816666666666667</v>
      </c>
      <c r="F64" s="1046">
        <f>SUM(F52:F63)/C63</f>
        <v>4.8166666666666673</v>
      </c>
      <c r="G64" s="1047">
        <f t="shared" si="6"/>
        <v>0.30761245674740478</v>
      </c>
      <c r="H64" s="1048">
        <f t="shared" si="7"/>
        <v>3.3350000000000009</v>
      </c>
      <c r="I64" s="1100"/>
      <c r="J64" s="1082"/>
      <c r="K64" s="1082"/>
      <c r="L64" s="1101">
        <f>'Formule pour le calcul D'!V18</f>
        <v>2</v>
      </c>
      <c r="M64" s="1094"/>
      <c r="N64" s="1095">
        <f>+L64*M84</f>
        <v>7382</v>
      </c>
      <c r="O64"/>
    </row>
    <row r="65" spans="1:15" ht="18" x14ac:dyDescent="0.3">
      <c r="A65" s="1384"/>
      <c r="B65" s="1082" t="s">
        <v>2</v>
      </c>
      <c r="C65" s="1082"/>
      <c r="D65" s="1082"/>
      <c r="E65" s="1091"/>
      <c r="F65" s="1091"/>
      <c r="G65" s="1044"/>
      <c r="H65" s="1049"/>
      <c r="I65" s="1082"/>
      <c r="J65" s="1082"/>
      <c r="K65" s="1082"/>
      <c r="L65" s="1096"/>
      <c r="M65" s="1094"/>
      <c r="N65" s="1095"/>
      <c r="O65"/>
    </row>
    <row r="66" spans="1:15" ht="18" x14ac:dyDescent="0.3">
      <c r="A66" s="1384"/>
      <c r="B66" s="1082"/>
      <c r="C66" s="1082"/>
      <c r="D66" s="1042" t="str">
        <f t="shared" ref="D66:F79" si="8">D23</f>
        <v>Les Boissons  Gâteries</v>
      </c>
      <c r="E66" s="1091"/>
      <c r="F66" s="1091"/>
      <c r="G66" s="1044"/>
      <c r="H66" s="1049"/>
      <c r="I66" s="1082"/>
      <c r="J66" s="1082"/>
      <c r="K66" s="1082"/>
      <c r="L66" s="1096"/>
      <c r="M66" s="1094"/>
      <c r="N66" s="1095"/>
      <c r="O66"/>
    </row>
    <row r="67" spans="1:15" ht="18" x14ac:dyDescent="0.3">
      <c r="A67" s="1384"/>
      <c r="B67" s="1082">
        <f t="shared" ref="B67:C78" si="9">B24</f>
        <v>13</v>
      </c>
      <c r="C67" s="1082">
        <f t="shared" si="9"/>
        <v>1</v>
      </c>
      <c r="D67" s="1082" t="str">
        <f t="shared" si="8"/>
        <v>Boisson spécial numéro 1</v>
      </c>
      <c r="E67" s="1091">
        <f t="shared" si="8"/>
        <v>2.2799999999999998</v>
      </c>
      <c r="F67" s="1130">
        <f t="shared" si="8"/>
        <v>6.6</v>
      </c>
      <c r="G67" s="1044">
        <f>E67/F67</f>
        <v>0.34545454545454546</v>
      </c>
      <c r="H67" s="1092">
        <f>F67-E67</f>
        <v>4.32</v>
      </c>
      <c r="I67" s="1087"/>
      <c r="J67" s="1082"/>
      <c r="K67" s="1082"/>
      <c r="L67" s="1096"/>
      <c r="M67" s="1094"/>
      <c r="N67" s="1095"/>
      <c r="O67"/>
    </row>
    <row r="68" spans="1:15" ht="18" x14ac:dyDescent="0.3">
      <c r="A68" s="1384"/>
      <c r="B68" s="1082">
        <f t="shared" si="9"/>
        <v>14</v>
      </c>
      <c r="C68" s="1082">
        <f t="shared" si="9"/>
        <v>2</v>
      </c>
      <c r="D68" s="1082" t="str">
        <f t="shared" si="8"/>
        <v>Boisson spécial numéro 2</v>
      </c>
      <c r="E68" s="1091">
        <f t="shared" si="8"/>
        <v>2.66</v>
      </c>
      <c r="F68" s="1128">
        <f t="shared" si="8"/>
        <v>7.6</v>
      </c>
      <c r="G68" s="1044">
        <f>E68/F68</f>
        <v>0.35000000000000003</v>
      </c>
      <c r="H68" s="1092">
        <f>F68-E68</f>
        <v>4.9399999999999995</v>
      </c>
      <c r="I68" s="1087"/>
      <c r="J68" s="1082"/>
      <c r="K68" s="1082"/>
      <c r="L68" s="1096"/>
      <c r="M68" s="1094"/>
      <c r="N68" s="1095"/>
      <c r="O68"/>
    </row>
    <row r="69" spans="1:15" ht="18" x14ac:dyDescent="0.3">
      <c r="A69" s="1384"/>
      <c r="B69" s="1082">
        <f t="shared" si="9"/>
        <v>15</v>
      </c>
      <c r="C69" s="1082">
        <f t="shared" si="9"/>
        <v>3</v>
      </c>
      <c r="D69" s="1082" t="str">
        <f t="shared" si="8"/>
        <v>Boisson spécial numéro 3</v>
      </c>
      <c r="E69" s="1091">
        <f t="shared" si="8"/>
        <v>2.74</v>
      </c>
      <c r="F69" s="1128">
        <f t="shared" si="8"/>
        <v>8</v>
      </c>
      <c r="G69" s="1044">
        <f>E69/F69</f>
        <v>0.34250000000000003</v>
      </c>
      <c r="H69" s="1092">
        <f>F69-E69</f>
        <v>5.26</v>
      </c>
      <c r="I69" s="1087"/>
      <c r="J69" s="1082"/>
      <c r="K69" s="1082"/>
      <c r="L69" s="1096"/>
      <c r="M69" s="1094"/>
      <c r="N69" s="1095"/>
      <c r="O69"/>
    </row>
    <row r="70" spans="1:15" ht="18" x14ac:dyDescent="0.3">
      <c r="A70" s="1384"/>
      <c r="B70" s="1082">
        <f t="shared" si="9"/>
        <v>16</v>
      </c>
      <c r="C70" s="1082">
        <f t="shared" si="9"/>
        <v>4</v>
      </c>
      <c r="D70" s="1082" t="str">
        <f t="shared" si="8"/>
        <v>Boisson spécial numéro 4</v>
      </c>
      <c r="E70" s="1091">
        <f t="shared" si="8"/>
        <v>2.72</v>
      </c>
      <c r="F70" s="1128">
        <f t="shared" si="8"/>
        <v>9</v>
      </c>
      <c r="G70" s="1044">
        <f t="shared" ref="G70:G77" si="10">E70/F70</f>
        <v>0.30222222222222223</v>
      </c>
      <c r="H70" s="1092">
        <f t="shared" ref="H70:H77" si="11">F70-E70</f>
        <v>6.2799999999999994</v>
      </c>
      <c r="I70" s="1087"/>
      <c r="J70" s="1082"/>
      <c r="K70" s="1082"/>
      <c r="L70" s="1096"/>
      <c r="M70" s="1094"/>
      <c r="N70" s="1095"/>
      <c r="O70"/>
    </row>
    <row r="71" spans="1:15" ht="18" x14ac:dyDescent="0.3">
      <c r="A71" s="1384"/>
      <c r="B71" s="1082">
        <f t="shared" si="9"/>
        <v>17</v>
      </c>
      <c r="C71" s="1082">
        <f t="shared" si="9"/>
        <v>5</v>
      </c>
      <c r="D71" s="1082" t="str">
        <f t="shared" si="8"/>
        <v>Boisson spécial numéro 5</v>
      </c>
      <c r="E71" s="1091">
        <f t="shared" si="8"/>
        <v>2.76</v>
      </c>
      <c r="F71" s="1128">
        <f t="shared" si="8"/>
        <v>9.1999999999999993</v>
      </c>
      <c r="G71" s="1044">
        <f t="shared" si="10"/>
        <v>0.3</v>
      </c>
      <c r="H71" s="1092">
        <f t="shared" si="11"/>
        <v>6.4399999999999995</v>
      </c>
      <c r="I71" s="1087"/>
      <c r="J71" s="1082"/>
      <c r="K71" s="1082"/>
      <c r="L71" s="1096"/>
      <c r="M71" s="1094"/>
      <c r="N71" s="1095"/>
      <c r="O71"/>
    </row>
    <row r="72" spans="1:15" ht="18" x14ac:dyDescent="0.3">
      <c r="A72" s="1384"/>
      <c r="B72" s="1082">
        <f t="shared" si="9"/>
        <v>18</v>
      </c>
      <c r="C72" s="1082">
        <f t="shared" si="9"/>
        <v>6</v>
      </c>
      <c r="D72" s="1082" t="str">
        <f t="shared" si="8"/>
        <v>Boisson spécial numéro 6</v>
      </c>
      <c r="E72" s="1091">
        <f t="shared" si="8"/>
        <v>2.8</v>
      </c>
      <c r="F72" s="1128">
        <f t="shared" si="8"/>
        <v>9.4</v>
      </c>
      <c r="G72" s="1044">
        <f t="shared" si="10"/>
        <v>0.2978723404255319</v>
      </c>
      <c r="H72" s="1092">
        <f t="shared" si="11"/>
        <v>6.6000000000000005</v>
      </c>
      <c r="I72" s="1087"/>
      <c r="J72" s="1082"/>
      <c r="K72" s="1082"/>
      <c r="L72" s="1096"/>
      <c r="M72" s="1094"/>
      <c r="N72" s="1095"/>
      <c r="O72"/>
    </row>
    <row r="73" spans="1:15" ht="18" x14ac:dyDescent="0.3">
      <c r="A73" s="1384"/>
      <c r="B73" s="1082">
        <f t="shared" si="9"/>
        <v>19</v>
      </c>
      <c r="C73" s="1082">
        <f t="shared" si="9"/>
        <v>7</v>
      </c>
      <c r="D73" s="1082" t="str">
        <f t="shared" si="8"/>
        <v>Boisson spécial numéro 7</v>
      </c>
      <c r="E73" s="1091">
        <f t="shared" si="8"/>
        <v>2.82</v>
      </c>
      <c r="F73" s="1128">
        <f t="shared" si="8"/>
        <v>9.6</v>
      </c>
      <c r="G73" s="1044">
        <f t="shared" si="10"/>
        <v>0.29375000000000001</v>
      </c>
      <c r="H73" s="1092">
        <f t="shared" si="11"/>
        <v>6.7799999999999994</v>
      </c>
      <c r="I73" s="1087"/>
      <c r="J73" s="1082"/>
      <c r="K73" s="1082"/>
      <c r="L73" s="1096"/>
      <c r="M73" s="1094"/>
      <c r="N73" s="1095"/>
      <c r="O73"/>
    </row>
    <row r="74" spans="1:15" ht="18" x14ac:dyDescent="0.3">
      <c r="A74" s="1384"/>
      <c r="B74" s="1082">
        <f t="shared" si="9"/>
        <v>20</v>
      </c>
      <c r="C74" s="1082">
        <f t="shared" si="9"/>
        <v>8</v>
      </c>
      <c r="D74" s="1082" t="str">
        <f t="shared" si="8"/>
        <v>Boisson spécial numéro 8</v>
      </c>
      <c r="E74" s="1091">
        <f t="shared" si="8"/>
        <v>2.86</v>
      </c>
      <c r="F74" s="1128">
        <f t="shared" si="8"/>
        <v>9.8000000000000007</v>
      </c>
      <c r="G74" s="1044">
        <f t="shared" si="10"/>
        <v>0.2918367346938775</v>
      </c>
      <c r="H74" s="1092">
        <f t="shared" si="11"/>
        <v>6.9400000000000013</v>
      </c>
      <c r="I74" s="1087"/>
      <c r="J74" s="1082"/>
      <c r="K74" s="1082"/>
      <c r="L74" s="1096"/>
      <c r="M74" s="1094"/>
      <c r="N74" s="1095"/>
      <c r="O74"/>
    </row>
    <row r="75" spans="1:15" ht="18" x14ac:dyDescent="0.3">
      <c r="A75" s="1384"/>
      <c r="B75" s="1082">
        <f t="shared" si="9"/>
        <v>21</v>
      </c>
      <c r="C75" s="1082">
        <f t="shared" si="9"/>
        <v>9</v>
      </c>
      <c r="D75" s="1082" t="str">
        <f t="shared" si="8"/>
        <v>Boisson spécial numéro 9</v>
      </c>
      <c r="E75" s="1091">
        <f t="shared" si="8"/>
        <v>2.9</v>
      </c>
      <c r="F75" s="1128">
        <f t="shared" si="8"/>
        <v>10</v>
      </c>
      <c r="G75" s="1044">
        <f t="shared" si="10"/>
        <v>0.28999999999999998</v>
      </c>
      <c r="H75" s="1092">
        <f t="shared" si="11"/>
        <v>7.1</v>
      </c>
      <c r="I75" s="1087"/>
      <c r="J75" s="1082"/>
      <c r="K75" s="1082"/>
      <c r="L75" s="1096"/>
      <c r="M75" s="1094"/>
      <c r="N75" s="1095"/>
      <c r="O75"/>
    </row>
    <row r="76" spans="1:15" ht="18" x14ac:dyDescent="0.3">
      <c r="A76" s="1384"/>
      <c r="B76" s="1082">
        <f t="shared" si="9"/>
        <v>22</v>
      </c>
      <c r="C76" s="1082">
        <f t="shared" si="9"/>
        <v>10</v>
      </c>
      <c r="D76" s="1082" t="str">
        <f t="shared" si="8"/>
        <v>Boisson spécial numéro 10</v>
      </c>
      <c r="E76" s="1091">
        <f t="shared" si="8"/>
        <v>2.98</v>
      </c>
      <c r="F76" s="1128">
        <f t="shared" si="8"/>
        <v>10.4</v>
      </c>
      <c r="G76" s="1044">
        <f t="shared" si="10"/>
        <v>0.28653846153846152</v>
      </c>
      <c r="H76" s="1092">
        <f t="shared" si="11"/>
        <v>7.42</v>
      </c>
      <c r="I76" s="1087"/>
      <c r="J76" s="1082"/>
      <c r="K76" s="1082"/>
      <c r="L76" s="1096"/>
      <c r="M76" s="1094"/>
      <c r="N76" s="1095"/>
      <c r="O76"/>
    </row>
    <row r="77" spans="1:15" ht="18" x14ac:dyDescent="0.3">
      <c r="A77" s="1384"/>
      <c r="B77" s="1082">
        <f t="shared" si="9"/>
        <v>23</v>
      </c>
      <c r="C77" s="1082">
        <f t="shared" si="9"/>
        <v>11</v>
      </c>
      <c r="D77" s="1082" t="str">
        <f t="shared" si="8"/>
        <v>Boisson spécial numéro 11</v>
      </c>
      <c r="E77" s="1091">
        <f t="shared" si="8"/>
        <v>3.18</v>
      </c>
      <c r="F77" s="1128">
        <f t="shared" si="8"/>
        <v>11.6</v>
      </c>
      <c r="G77" s="1044">
        <f t="shared" si="10"/>
        <v>0.27413793103448281</v>
      </c>
      <c r="H77" s="1092">
        <f t="shared" si="11"/>
        <v>8.42</v>
      </c>
      <c r="I77" s="1087"/>
      <c r="J77" s="1082"/>
      <c r="K77" s="1082"/>
      <c r="L77" s="1096"/>
      <c r="M77" s="1094"/>
      <c r="N77" s="1095"/>
      <c r="O77"/>
    </row>
    <row r="78" spans="1:15" ht="18" x14ac:dyDescent="0.3">
      <c r="A78" s="1384"/>
      <c r="B78" s="1082">
        <f t="shared" si="9"/>
        <v>24</v>
      </c>
      <c r="C78" s="1082">
        <f t="shared" si="9"/>
        <v>12</v>
      </c>
      <c r="D78" s="1082" t="str">
        <f t="shared" si="8"/>
        <v>Boisson spécial numéro 12</v>
      </c>
      <c r="E78" s="1091">
        <f t="shared" si="8"/>
        <v>3.48</v>
      </c>
      <c r="F78" s="1128">
        <f t="shared" si="8"/>
        <v>13.2</v>
      </c>
      <c r="G78" s="1044">
        <f>E78/F78</f>
        <v>0.26363636363636367</v>
      </c>
      <c r="H78" s="1092">
        <f>F78-E78</f>
        <v>9.7199999999999989</v>
      </c>
      <c r="I78" s="1087"/>
      <c r="J78" s="1082"/>
      <c r="K78" s="1082"/>
      <c r="L78" s="1096"/>
      <c r="M78" s="1094"/>
      <c r="N78" s="1095"/>
      <c r="O78"/>
    </row>
    <row r="79" spans="1:15" ht="19" x14ac:dyDescent="0.35">
      <c r="A79" s="1384"/>
      <c r="B79" s="1082"/>
      <c r="C79" s="1082"/>
      <c r="D79" s="1042" t="str">
        <f t="shared" si="8"/>
        <v>CmO—PmO—Beverage Cost—Marge brute</v>
      </c>
      <c r="E79" s="1046">
        <f>SUM(E67:E78)/C78</f>
        <v>2.8483333333333332</v>
      </c>
      <c r="F79" s="1046">
        <f>SUM(F67:F78)/C78</f>
        <v>9.5333333333333332</v>
      </c>
      <c r="G79" s="1050">
        <f>E79/F79</f>
        <v>0.29877622377622376</v>
      </c>
      <c r="H79" s="1048">
        <f>F79-E79</f>
        <v>6.6850000000000005</v>
      </c>
      <c r="I79" s="1100"/>
      <c r="J79" s="1082"/>
      <c r="K79" s="1082"/>
      <c r="L79" s="1096">
        <f>'Formule pour le calcul D'!AH18</f>
        <v>1</v>
      </c>
      <c r="M79" s="1094"/>
      <c r="N79" s="1095">
        <f>+L79*M84</f>
        <v>3691</v>
      </c>
      <c r="O79"/>
    </row>
    <row r="80" spans="1:15" ht="19" thickBot="1" x14ac:dyDescent="0.35">
      <c r="A80" s="1384"/>
      <c r="B80" s="1082"/>
      <c r="C80" s="1082"/>
      <c r="D80" s="1082"/>
      <c r="E80" s="1091"/>
      <c r="F80" s="1091"/>
      <c r="G80" s="1043"/>
      <c r="H80" s="1049"/>
      <c r="I80" s="1082"/>
      <c r="J80" s="1082"/>
      <c r="K80" s="1082"/>
      <c r="L80" s="1096"/>
      <c r="M80" s="1094"/>
      <c r="N80" s="1095"/>
      <c r="O80"/>
    </row>
    <row r="81" spans="1:15" ht="21" thickTop="1" thickBot="1" x14ac:dyDescent="0.4">
      <c r="A81" s="1384"/>
      <c r="B81" s="1082"/>
      <c r="C81" s="1051"/>
      <c r="D81" s="1052"/>
      <c r="E81" s="1102"/>
      <c r="F81" s="1102"/>
      <c r="G81" s="1053"/>
      <c r="H81" s="1103"/>
      <c r="I81" s="1104"/>
      <c r="J81" s="1082"/>
      <c r="K81" s="1082"/>
      <c r="L81" s="1096"/>
      <c r="M81" s="1094"/>
      <c r="N81" s="1095"/>
      <c r="O81"/>
    </row>
    <row r="82" spans="1:15" ht="20" thickTop="1" thickBot="1" x14ac:dyDescent="0.35">
      <c r="A82" s="1384"/>
      <c r="B82" s="1082"/>
      <c r="C82" s="1055"/>
      <c r="D82" s="1042"/>
      <c r="E82" s="1105" t="str">
        <f>E39</f>
        <v>CmO</v>
      </c>
      <c r="F82" s="1105" t="str">
        <f>F39</f>
        <v>PmO</v>
      </c>
      <c r="G82" s="1056" t="str">
        <f>G39</f>
        <v>F&amp;BCmO</v>
      </c>
      <c r="H82" s="1106" t="str">
        <f>H39</f>
        <v>BmO</v>
      </c>
      <c r="I82" s="1107"/>
      <c r="J82" s="1082"/>
      <c r="K82" s="1082"/>
      <c r="L82" s="1096"/>
      <c r="M82" s="1094"/>
      <c r="N82" s="1095"/>
      <c r="O82"/>
    </row>
    <row r="83" spans="1:15" ht="19" thickTop="1" x14ac:dyDescent="0.3">
      <c r="A83" s="1384"/>
      <c r="B83" s="1082"/>
      <c r="C83" s="1055"/>
      <c r="D83" s="1057" t="str">
        <f>D40</f>
        <v>OFFRE TOTALE AVEC LES GÂTERIES ET LES CAFÉS GÂTERIES</v>
      </c>
      <c r="E83" s="1091"/>
      <c r="F83" s="1091"/>
      <c r="G83" s="1043"/>
      <c r="H83" s="1049"/>
      <c r="I83" s="1058"/>
      <c r="J83" s="1082"/>
      <c r="K83" s="1082"/>
      <c r="L83" s="1096"/>
      <c r="M83" s="1094"/>
      <c r="N83" s="1095"/>
      <c r="O83"/>
    </row>
    <row r="84" spans="1:15" ht="19" x14ac:dyDescent="0.35">
      <c r="A84" s="1384"/>
      <c r="B84" s="1082"/>
      <c r="C84" s="1055"/>
      <c r="D84" s="1042" t="str">
        <f>D41</f>
        <v>CmO—PmO—F&amp;B cost moyen offert—Marge brute</v>
      </c>
      <c r="E84" s="1059">
        <f>+(E52+E53+E54+E55+E56+E57+E58+E59+E60+E61+E62+E63+E67+E68+E69+E70+E71+E72+E73+E74+E75+E76+E77+E78)/B78</f>
        <v>2.1649999999999996</v>
      </c>
      <c r="F84" s="1059">
        <f>+(F52+F53+F54+F55+F56+F57+F58+F59+F60+F61+F62+F63+F67+F68+F69+F70+F71+F72+F73+F74+F75+F76+F77+F78)/B78</f>
        <v>7.1749999999999998</v>
      </c>
      <c r="G84" s="1060">
        <f>E84/F84</f>
        <v>0.30174216027874562</v>
      </c>
      <c r="H84" s="1061">
        <f>F84-E84</f>
        <v>5.01</v>
      </c>
      <c r="I84" s="1108"/>
      <c r="J84" s="1082"/>
      <c r="K84" s="1082"/>
      <c r="L84" s="1096">
        <f>L41</f>
        <v>3</v>
      </c>
      <c r="M84" s="1121">
        <f>'% Occupation'!E19</f>
        <v>3691</v>
      </c>
      <c r="N84" s="1095">
        <f>+N64+N79</f>
        <v>11073</v>
      </c>
      <c r="O84"/>
    </row>
    <row r="85" spans="1:15" ht="18" x14ac:dyDescent="0.3">
      <c r="A85" s="1384"/>
      <c r="B85" s="1082"/>
      <c r="C85" s="1055"/>
      <c r="D85" s="1082"/>
      <c r="E85" s="1109"/>
      <c r="F85" s="1109"/>
      <c r="G85" s="1045"/>
      <c r="H85" s="1062"/>
      <c r="I85" s="1063"/>
      <c r="J85" s="1082"/>
      <c r="K85" s="1082"/>
      <c r="L85" s="1096"/>
      <c r="M85" s="1094"/>
      <c r="N85" s="1095"/>
      <c r="O85"/>
    </row>
    <row r="86" spans="1:15" ht="19" thickBot="1" x14ac:dyDescent="0.35">
      <c r="A86" s="1384"/>
      <c r="B86" s="1082"/>
      <c r="C86" s="1072"/>
      <c r="D86" s="1073"/>
      <c r="E86" s="1110"/>
      <c r="F86" s="1110"/>
      <c r="G86" s="1074"/>
      <c r="H86" s="1075"/>
      <c r="I86" s="1076"/>
      <c r="J86" s="1082"/>
      <c r="K86" s="1082"/>
      <c r="L86" s="1111"/>
      <c r="M86" s="1112"/>
      <c r="N86" s="1113"/>
      <c r="O86"/>
    </row>
    <row r="87" spans="1:15" ht="19" thickTop="1" x14ac:dyDescent="0.3">
      <c r="A87" s="1384"/>
      <c r="B87" s="1054"/>
      <c r="C87" s="1054"/>
      <c r="D87" s="1054"/>
      <c r="E87" s="1054"/>
      <c r="F87" s="1054"/>
      <c r="G87" s="1054"/>
      <c r="H87" s="1054"/>
      <c r="I87" s="1054"/>
      <c r="J87" s="1082"/>
      <c r="K87" s="1082"/>
      <c r="L87" s="1085"/>
      <c r="M87" s="1114"/>
      <c r="N87" s="1086"/>
      <c r="O87"/>
    </row>
    <row r="88" spans="1:15" ht="23" x14ac:dyDescent="0.3">
      <c r="A88" s="1384"/>
      <c r="D88" s="1038" t="s">
        <v>552</v>
      </c>
      <c r="F88" s="1084"/>
      <c r="L88" s="1085"/>
      <c r="M88" s="1114"/>
      <c r="N88" s="1086"/>
      <c r="O88"/>
    </row>
    <row r="89" spans="1:15" ht="24" thickBot="1" x14ac:dyDescent="0.35">
      <c r="A89" s="1384"/>
      <c r="D89" s="1039"/>
      <c r="L89" s="1085"/>
      <c r="M89" s="1114"/>
      <c r="N89" s="1086"/>
      <c r="O89"/>
    </row>
    <row r="90" spans="1:15" ht="23" customHeight="1" thickTop="1" x14ac:dyDescent="0.25">
      <c r="A90" s="1384"/>
      <c r="D90" s="1039"/>
      <c r="E90" s="1378" t="str">
        <f>E47</f>
        <v>Coûts des ressources alimentaires pour chaque produit offert (voir recettes standardisées)</v>
      </c>
      <c r="F90" s="1378" t="str">
        <f>F47</f>
        <v>Prix de vente par produit offert</v>
      </c>
      <c r="G90" s="1378" t="str">
        <f>G47</f>
        <v xml:space="preserve">« Food &amp; Beverage Cost » </v>
      </c>
      <c r="H90" s="1378" t="str">
        <f>H47</f>
        <v>Marge brute gagnée sur la vente de chaque produit offert</v>
      </c>
      <c r="I90" s="1040"/>
      <c r="L90" s="1369" t="s">
        <v>592</v>
      </c>
      <c r="M90" s="1369" t="s">
        <v>593</v>
      </c>
      <c r="N90" s="1369" t="s">
        <v>594</v>
      </c>
      <c r="O90"/>
    </row>
    <row r="91" spans="1:15" ht="22" x14ac:dyDescent="0.25">
      <c r="A91" s="1384"/>
      <c r="D91" s="1039"/>
      <c r="E91" s="1379"/>
      <c r="F91" s="1381"/>
      <c r="G91" s="1381"/>
      <c r="H91" s="1381"/>
      <c r="I91" s="1041"/>
      <c r="L91" s="1370"/>
      <c r="M91" s="1372"/>
      <c r="N91" s="1370"/>
      <c r="O91"/>
    </row>
    <row r="92" spans="1:15" ht="14" thickBot="1" x14ac:dyDescent="0.2">
      <c r="A92" s="1384"/>
      <c r="E92" s="1380"/>
      <c r="F92" s="1382"/>
      <c r="G92" s="1382"/>
      <c r="H92" s="1382"/>
      <c r="I92" s="1041"/>
      <c r="L92" s="1371"/>
      <c r="M92" s="1373"/>
      <c r="N92" s="1371"/>
      <c r="O92"/>
    </row>
    <row r="93" spans="1:15" ht="18" thickTop="1" thickBot="1" x14ac:dyDescent="0.35">
      <c r="A93" s="1384"/>
      <c r="B93" s="161" t="s">
        <v>2</v>
      </c>
      <c r="E93" s="1084"/>
      <c r="F93" s="1084"/>
      <c r="G93" s="314"/>
      <c r="L93" s="1085"/>
      <c r="M93" s="1114"/>
      <c r="N93" s="1086"/>
      <c r="O93"/>
    </row>
    <row r="94" spans="1:15" ht="19" thickTop="1" x14ac:dyDescent="0.3">
      <c r="A94" s="1384"/>
      <c r="B94" s="1082"/>
      <c r="C94" s="1082"/>
      <c r="D94" s="1042" t="str">
        <f t="shared" ref="D94:F107" si="12">D51</f>
        <v>Les Petite Gâteries</v>
      </c>
      <c r="E94" s="1087"/>
      <c r="F94" s="1087"/>
      <c r="G94" s="1043"/>
      <c r="H94" s="1082"/>
      <c r="I94" s="1082"/>
      <c r="J94" s="1082"/>
      <c r="K94" s="1082"/>
      <c r="L94" s="1088"/>
      <c r="M94" s="1089"/>
      <c r="N94" s="1090"/>
      <c r="O94"/>
    </row>
    <row r="95" spans="1:15" ht="18" x14ac:dyDescent="0.3">
      <c r="A95" s="1384"/>
      <c r="B95" s="1082">
        <f t="shared" ref="B95:C106" si="13">B52</f>
        <v>1</v>
      </c>
      <c r="C95" s="1082">
        <f t="shared" si="13"/>
        <v>1</v>
      </c>
      <c r="D95" s="1082" t="str">
        <f t="shared" si="12"/>
        <v>Petite Gâterie 1</v>
      </c>
      <c r="E95" s="1091">
        <f t="shared" si="12"/>
        <v>1.21</v>
      </c>
      <c r="F95" s="1128">
        <f t="shared" si="12"/>
        <v>3.3</v>
      </c>
      <c r="G95" s="1044">
        <f t="shared" ref="G95:G107" si="14">E95/F95</f>
        <v>0.3666666666666667</v>
      </c>
      <c r="H95" s="1092">
        <f t="shared" ref="H95:H107" si="15">F95-E95</f>
        <v>2.09</v>
      </c>
      <c r="I95" s="1087"/>
      <c r="J95" s="1082"/>
      <c r="K95" s="1082"/>
      <c r="L95" s="1093"/>
      <c r="M95" s="1094"/>
      <c r="N95" s="1095"/>
      <c r="O95"/>
    </row>
    <row r="96" spans="1:15" ht="18" x14ac:dyDescent="0.3">
      <c r="A96" s="1384"/>
      <c r="B96" s="1082">
        <f t="shared" si="13"/>
        <v>2</v>
      </c>
      <c r="C96" s="1082">
        <f t="shared" si="13"/>
        <v>2</v>
      </c>
      <c r="D96" s="1082" t="str">
        <f t="shared" si="12"/>
        <v>Petite Gâterie 2</v>
      </c>
      <c r="E96" s="1091">
        <f t="shared" si="12"/>
        <v>1.31</v>
      </c>
      <c r="F96" s="1128">
        <f t="shared" si="12"/>
        <v>3.8</v>
      </c>
      <c r="G96" s="1044">
        <f t="shared" si="14"/>
        <v>0.34473684210526317</v>
      </c>
      <c r="H96" s="1092">
        <f t="shared" si="15"/>
        <v>2.4899999999999998</v>
      </c>
      <c r="I96" s="1087"/>
      <c r="J96" s="1082"/>
      <c r="K96" s="1082"/>
      <c r="L96" s="1096"/>
      <c r="M96" s="1094"/>
      <c r="N96" s="1095"/>
      <c r="O96"/>
    </row>
    <row r="97" spans="1:15" ht="18" x14ac:dyDescent="0.3">
      <c r="A97" s="1384"/>
      <c r="B97" s="1082">
        <f t="shared" si="13"/>
        <v>3</v>
      </c>
      <c r="C97" s="1082">
        <f t="shared" si="13"/>
        <v>3</v>
      </c>
      <c r="D97" s="1082" t="str">
        <f t="shared" si="12"/>
        <v>Petite Gâterie 3</v>
      </c>
      <c r="E97" s="1091">
        <f t="shared" si="12"/>
        <v>1.35</v>
      </c>
      <c r="F97" s="1128">
        <f t="shared" si="12"/>
        <v>4</v>
      </c>
      <c r="G97" s="1044">
        <f t="shared" si="14"/>
        <v>0.33750000000000002</v>
      </c>
      <c r="H97" s="1092">
        <f t="shared" si="15"/>
        <v>2.65</v>
      </c>
      <c r="I97" s="1087"/>
      <c r="J97" s="1082"/>
      <c r="K97" s="1082"/>
      <c r="L97" s="1096"/>
      <c r="M97" s="1094"/>
      <c r="N97" s="1095"/>
      <c r="O97"/>
    </row>
    <row r="98" spans="1:15" ht="18" x14ac:dyDescent="0.3">
      <c r="A98" s="1384"/>
      <c r="B98" s="1082">
        <f t="shared" si="13"/>
        <v>4</v>
      </c>
      <c r="C98" s="1082">
        <f t="shared" si="13"/>
        <v>4</v>
      </c>
      <c r="D98" s="1082" t="str">
        <f t="shared" si="12"/>
        <v>Petite Gâterie 4</v>
      </c>
      <c r="E98" s="1091">
        <f t="shared" si="12"/>
        <v>1.4</v>
      </c>
      <c r="F98" s="1128">
        <f t="shared" si="12"/>
        <v>4.5</v>
      </c>
      <c r="G98" s="1044">
        <f t="shared" si="14"/>
        <v>0.31111111111111112</v>
      </c>
      <c r="H98" s="1092">
        <f t="shared" si="15"/>
        <v>3.1</v>
      </c>
      <c r="I98" s="1087"/>
      <c r="J98" s="1082"/>
      <c r="K98" s="1082"/>
      <c r="L98" s="1096"/>
      <c r="M98" s="1094"/>
      <c r="N98" s="1095"/>
      <c r="O98"/>
    </row>
    <row r="99" spans="1:15" ht="18" x14ac:dyDescent="0.3">
      <c r="A99" s="1384"/>
      <c r="B99" s="1082">
        <f t="shared" si="13"/>
        <v>5</v>
      </c>
      <c r="C99" s="1082">
        <f t="shared" si="13"/>
        <v>5</v>
      </c>
      <c r="D99" s="1082" t="str">
        <f t="shared" si="12"/>
        <v>Petite Gâterie 5</v>
      </c>
      <c r="E99" s="1091">
        <f t="shared" si="12"/>
        <v>1.24</v>
      </c>
      <c r="F99" s="1128">
        <f t="shared" si="12"/>
        <v>4.5999999999999996</v>
      </c>
      <c r="G99" s="1044">
        <f t="shared" si="14"/>
        <v>0.26956521739130435</v>
      </c>
      <c r="H99" s="1092">
        <f t="shared" si="15"/>
        <v>3.3599999999999994</v>
      </c>
      <c r="I99" s="1087"/>
      <c r="J99" s="1082"/>
      <c r="K99" s="1082"/>
      <c r="L99" s="1096"/>
      <c r="M99" s="1094"/>
      <c r="N99" s="1095"/>
      <c r="O99"/>
    </row>
    <row r="100" spans="1:15" ht="18" x14ac:dyDescent="0.3">
      <c r="A100" s="1384"/>
      <c r="B100" s="1082">
        <f t="shared" si="13"/>
        <v>6</v>
      </c>
      <c r="C100" s="1082">
        <f t="shared" si="13"/>
        <v>6</v>
      </c>
      <c r="D100" s="1082" t="str">
        <f t="shared" si="12"/>
        <v>Petite Gâterie 6</v>
      </c>
      <c r="E100" s="1091">
        <f t="shared" si="12"/>
        <v>1.39</v>
      </c>
      <c r="F100" s="1128">
        <f t="shared" si="12"/>
        <v>4.7</v>
      </c>
      <c r="G100" s="1044">
        <f t="shared" si="14"/>
        <v>0.29574468085106381</v>
      </c>
      <c r="H100" s="1092">
        <f t="shared" si="15"/>
        <v>3.3100000000000005</v>
      </c>
      <c r="I100" s="1087"/>
      <c r="J100" s="1082"/>
      <c r="K100" s="1082"/>
      <c r="L100" s="1096"/>
      <c r="M100" s="1094"/>
      <c r="N100" s="1095"/>
      <c r="O100"/>
    </row>
    <row r="101" spans="1:15" ht="18" x14ac:dyDescent="0.3">
      <c r="A101" s="1384"/>
      <c r="B101" s="1082">
        <f t="shared" si="13"/>
        <v>7</v>
      </c>
      <c r="C101" s="1082">
        <f t="shared" si="13"/>
        <v>7</v>
      </c>
      <c r="D101" s="1082" t="str">
        <f t="shared" si="12"/>
        <v>Petite Gâterie 7</v>
      </c>
      <c r="E101" s="1091">
        <f t="shared" si="12"/>
        <v>1.51</v>
      </c>
      <c r="F101" s="1128">
        <f t="shared" si="12"/>
        <v>4.8</v>
      </c>
      <c r="G101" s="1044">
        <f t="shared" si="14"/>
        <v>0.31458333333333333</v>
      </c>
      <c r="H101" s="1092">
        <f t="shared" si="15"/>
        <v>3.29</v>
      </c>
      <c r="I101" s="1087"/>
      <c r="J101" s="1082"/>
      <c r="K101" s="1082"/>
      <c r="L101" s="1096"/>
      <c r="M101" s="1094"/>
      <c r="N101" s="1095"/>
      <c r="O101"/>
    </row>
    <row r="102" spans="1:15" ht="18" x14ac:dyDescent="0.3">
      <c r="A102" s="1384"/>
      <c r="B102" s="1082">
        <f t="shared" si="13"/>
        <v>8</v>
      </c>
      <c r="C102" s="1082">
        <f t="shared" si="13"/>
        <v>8</v>
      </c>
      <c r="D102" s="1082" t="str">
        <f t="shared" si="12"/>
        <v>Petite Gâterie 8</v>
      </c>
      <c r="E102" s="1091">
        <f t="shared" si="12"/>
        <v>1.53</v>
      </c>
      <c r="F102" s="1128">
        <f t="shared" si="12"/>
        <v>4.9000000000000004</v>
      </c>
      <c r="G102" s="1044">
        <f t="shared" si="14"/>
        <v>0.31224489795918364</v>
      </c>
      <c r="H102" s="1092">
        <f t="shared" si="15"/>
        <v>3.37</v>
      </c>
      <c r="I102" s="1087"/>
      <c r="J102" s="1082"/>
      <c r="K102" s="1082"/>
      <c r="L102" s="1096"/>
      <c r="M102" s="1094"/>
      <c r="N102" s="1095"/>
      <c r="O102"/>
    </row>
    <row r="103" spans="1:15" ht="18" x14ac:dyDescent="0.3">
      <c r="A103" s="1384"/>
      <c r="B103" s="1082">
        <f t="shared" si="13"/>
        <v>9</v>
      </c>
      <c r="C103" s="1082">
        <f t="shared" si="13"/>
        <v>9</v>
      </c>
      <c r="D103" s="1082" t="str">
        <f t="shared" si="12"/>
        <v>Petite Gâterie 9</v>
      </c>
      <c r="E103" s="1091">
        <f t="shared" si="12"/>
        <v>1.55</v>
      </c>
      <c r="F103" s="1128">
        <f t="shared" si="12"/>
        <v>5</v>
      </c>
      <c r="G103" s="1044">
        <f t="shared" si="14"/>
        <v>0.31</v>
      </c>
      <c r="H103" s="1092">
        <f t="shared" si="15"/>
        <v>3.45</v>
      </c>
      <c r="I103" s="1087"/>
      <c r="J103" s="1082"/>
      <c r="K103" s="1082"/>
      <c r="L103" s="1096"/>
      <c r="M103" s="1094"/>
      <c r="N103" s="1095"/>
      <c r="O103"/>
    </row>
    <row r="104" spans="1:15" ht="18" x14ac:dyDescent="0.3">
      <c r="A104" s="1384"/>
      <c r="B104" s="1082">
        <f t="shared" si="13"/>
        <v>10</v>
      </c>
      <c r="C104" s="1082">
        <f t="shared" si="13"/>
        <v>10</v>
      </c>
      <c r="D104" s="1082" t="str">
        <f t="shared" si="12"/>
        <v>Petite Gâterie 10</v>
      </c>
      <c r="E104" s="1091">
        <f t="shared" si="12"/>
        <v>1.59</v>
      </c>
      <c r="F104" s="1128">
        <f t="shared" si="12"/>
        <v>5.2</v>
      </c>
      <c r="G104" s="1044">
        <f t="shared" si="14"/>
        <v>0.30576923076923079</v>
      </c>
      <c r="H104" s="1092">
        <f t="shared" si="15"/>
        <v>3.6100000000000003</v>
      </c>
      <c r="I104" s="1087"/>
      <c r="J104" s="1082"/>
      <c r="K104" s="1082"/>
      <c r="L104" s="1096"/>
      <c r="M104" s="1094"/>
      <c r="N104" s="1095"/>
      <c r="O104"/>
    </row>
    <row r="105" spans="1:15" ht="18" x14ac:dyDescent="0.3">
      <c r="A105" s="1384"/>
      <c r="B105" s="1082">
        <f t="shared" si="13"/>
        <v>11</v>
      </c>
      <c r="C105" s="1082">
        <f t="shared" si="13"/>
        <v>11</v>
      </c>
      <c r="D105" s="1082" t="str">
        <f t="shared" si="12"/>
        <v>Petite Gâterie 11</v>
      </c>
      <c r="E105" s="1091">
        <f t="shared" si="12"/>
        <v>1.83</v>
      </c>
      <c r="F105" s="1128">
        <f t="shared" si="12"/>
        <v>6.4</v>
      </c>
      <c r="G105" s="1044">
        <f t="shared" si="14"/>
        <v>0.28593750000000001</v>
      </c>
      <c r="H105" s="1092">
        <f t="shared" si="15"/>
        <v>4.57</v>
      </c>
      <c r="I105" s="1087"/>
      <c r="J105" s="1082"/>
      <c r="K105" s="1082"/>
      <c r="L105" s="1096"/>
      <c r="M105" s="1094"/>
      <c r="N105" s="1095"/>
      <c r="O105"/>
    </row>
    <row r="106" spans="1:15" ht="18" x14ac:dyDescent="0.3">
      <c r="A106" s="1384"/>
      <c r="B106" s="1082">
        <f t="shared" si="13"/>
        <v>12</v>
      </c>
      <c r="C106" s="1082">
        <f t="shared" si="13"/>
        <v>12</v>
      </c>
      <c r="D106" s="1082" t="str">
        <f t="shared" si="12"/>
        <v>Petite Gâterie 12</v>
      </c>
      <c r="E106" s="1091">
        <f t="shared" si="12"/>
        <v>1.87</v>
      </c>
      <c r="F106" s="1128">
        <f t="shared" si="12"/>
        <v>6.6</v>
      </c>
      <c r="G106" s="1044">
        <f t="shared" si="14"/>
        <v>0.28333333333333338</v>
      </c>
      <c r="H106" s="1092">
        <f t="shared" si="15"/>
        <v>4.7299999999999995</v>
      </c>
      <c r="I106" s="1087"/>
      <c r="J106" s="1082"/>
      <c r="K106" s="1082"/>
      <c r="L106" s="1096"/>
      <c r="M106" s="1094"/>
      <c r="N106" s="1095"/>
      <c r="O106"/>
    </row>
    <row r="107" spans="1:15" ht="19" x14ac:dyDescent="0.35">
      <c r="A107" s="1384"/>
      <c r="B107" s="1082"/>
      <c r="C107" s="1082"/>
      <c r="D107" s="1042" t="str">
        <f t="shared" si="12"/>
        <v>CmO—PmO—Food Cost—BmO</v>
      </c>
      <c r="E107" s="1046">
        <f>SUM(E95:E106)/C106</f>
        <v>1.4816666666666667</v>
      </c>
      <c r="F107" s="1046">
        <f>SUM(F95:F106)/C106</f>
        <v>4.8166666666666673</v>
      </c>
      <c r="G107" s="1047">
        <f t="shared" si="14"/>
        <v>0.30761245674740478</v>
      </c>
      <c r="H107" s="1048">
        <f t="shared" si="15"/>
        <v>3.3350000000000009</v>
      </c>
      <c r="I107" s="1100"/>
      <c r="J107" s="1082"/>
      <c r="K107" s="1082"/>
      <c r="L107" s="1101">
        <f>'Formule pour le calcul D'!V26</f>
        <v>2</v>
      </c>
      <c r="M107" s="1094"/>
      <c r="N107" s="1095">
        <f>+L107*M127</f>
        <v>8226</v>
      </c>
      <c r="O107"/>
    </row>
    <row r="108" spans="1:15" ht="18" x14ac:dyDescent="0.3">
      <c r="A108" s="1384"/>
      <c r="B108" s="1082" t="s">
        <v>2</v>
      </c>
      <c r="C108" s="1082"/>
      <c r="D108" s="1082"/>
      <c r="E108" s="1091"/>
      <c r="F108" s="1091"/>
      <c r="G108" s="1044"/>
      <c r="H108" s="1049"/>
      <c r="I108" s="1082"/>
      <c r="J108" s="1082"/>
      <c r="K108" s="1082"/>
      <c r="L108" s="1096"/>
      <c r="M108" s="1094"/>
      <c r="N108" s="1095"/>
      <c r="O108"/>
    </row>
    <row r="109" spans="1:15" ht="18" x14ac:dyDescent="0.3">
      <c r="A109" s="1384"/>
      <c r="B109" s="1082"/>
      <c r="C109" s="1082"/>
      <c r="D109" s="1042" t="str">
        <f t="shared" ref="D109:F122" si="16">D66</f>
        <v>Les Boissons  Gâteries</v>
      </c>
      <c r="E109" s="1091"/>
      <c r="F109" s="1091"/>
      <c r="G109" s="1044"/>
      <c r="H109" s="1049"/>
      <c r="I109" s="1082"/>
      <c r="J109" s="1082"/>
      <c r="K109" s="1082"/>
      <c r="L109" s="1096"/>
      <c r="M109" s="1094"/>
      <c r="N109" s="1095"/>
      <c r="O109"/>
    </row>
    <row r="110" spans="1:15" ht="18" x14ac:dyDescent="0.3">
      <c r="A110" s="1384"/>
      <c r="B110" s="1082">
        <f t="shared" ref="B110:C121" si="17">B67</f>
        <v>13</v>
      </c>
      <c r="C110" s="1082">
        <f t="shared" si="17"/>
        <v>1</v>
      </c>
      <c r="D110" s="1082" t="str">
        <f t="shared" si="16"/>
        <v>Boisson spécial numéro 1</v>
      </c>
      <c r="E110" s="1091">
        <f t="shared" si="16"/>
        <v>2.2799999999999998</v>
      </c>
      <c r="F110" s="1128">
        <f t="shared" si="16"/>
        <v>6.6</v>
      </c>
      <c r="G110" s="1044">
        <f>E110/F110</f>
        <v>0.34545454545454546</v>
      </c>
      <c r="H110" s="1092">
        <f>F110-E110</f>
        <v>4.32</v>
      </c>
      <c r="I110" s="1087"/>
      <c r="J110" s="1082"/>
      <c r="K110" s="1082"/>
      <c r="L110" s="1096"/>
      <c r="M110" s="1094"/>
      <c r="N110" s="1095"/>
      <c r="O110"/>
    </row>
    <row r="111" spans="1:15" ht="18" x14ac:dyDescent="0.3">
      <c r="A111" s="1384"/>
      <c r="B111" s="1082">
        <f t="shared" si="17"/>
        <v>14</v>
      </c>
      <c r="C111" s="1082">
        <f t="shared" si="17"/>
        <v>2</v>
      </c>
      <c r="D111" s="1082" t="str">
        <f t="shared" si="16"/>
        <v>Boisson spécial numéro 2</v>
      </c>
      <c r="E111" s="1091">
        <f t="shared" si="16"/>
        <v>2.66</v>
      </c>
      <c r="F111" s="1128">
        <f t="shared" si="16"/>
        <v>7.6</v>
      </c>
      <c r="G111" s="1044">
        <f>E111/F111</f>
        <v>0.35000000000000003</v>
      </c>
      <c r="H111" s="1092">
        <f>F111-E111</f>
        <v>4.9399999999999995</v>
      </c>
      <c r="I111" s="1087"/>
      <c r="J111" s="1082"/>
      <c r="K111" s="1082"/>
      <c r="L111" s="1096"/>
      <c r="M111" s="1094"/>
      <c r="N111" s="1095"/>
      <c r="O111"/>
    </row>
    <row r="112" spans="1:15" ht="18" x14ac:dyDescent="0.3">
      <c r="A112" s="1384"/>
      <c r="B112" s="1082">
        <f t="shared" si="17"/>
        <v>15</v>
      </c>
      <c r="C112" s="1082">
        <f t="shared" si="17"/>
        <v>3</v>
      </c>
      <c r="D112" s="1082" t="str">
        <f t="shared" si="16"/>
        <v>Boisson spécial numéro 3</v>
      </c>
      <c r="E112" s="1091">
        <f t="shared" si="16"/>
        <v>2.74</v>
      </c>
      <c r="F112" s="1128">
        <f t="shared" si="16"/>
        <v>8</v>
      </c>
      <c r="G112" s="1044">
        <f>E112/F112</f>
        <v>0.34250000000000003</v>
      </c>
      <c r="H112" s="1092">
        <f>F112-E112</f>
        <v>5.26</v>
      </c>
      <c r="I112" s="1087"/>
      <c r="J112" s="1082"/>
      <c r="K112" s="1082"/>
      <c r="L112" s="1096"/>
      <c r="M112" s="1094"/>
      <c r="N112" s="1095"/>
      <c r="O112"/>
    </row>
    <row r="113" spans="1:15" ht="18" x14ac:dyDescent="0.3">
      <c r="A113" s="1384"/>
      <c r="B113" s="1082">
        <f t="shared" si="17"/>
        <v>16</v>
      </c>
      <c r="C113" s="1082">
        <f t="shared" si="17"/>
        <v>4</v>
      </c>
      <c r="D113" s="1082" t="str">
        <f t="shared" si="16"/>
        <v>Boisson spécial numéro 4</v>
      </c>
      <c r="E113" s="1091">
        <f t="shared" si="16"/>
        <v>2.72</v>
      </c>
      <c r="F113" s="1128">
        <f t="shared" si="16"/>
        <v>9</v>
      </c>
      <c r="G113" s="1044">
        <f t="shared" ref="G113:G120" si="18">E113/F113</f>
        <v>0.30222222222222223</v>
      </c>
      <c r="H113" s="1092">
        <f t="shared" ref="H113:H120" si="19">F113-E113</f>
        <v>6.2799999999999994</v>
      </c>
      <c r="I113" s="1087"/>
      <c r="J113" s="1082"/>
      <c r="K113" s="1082"/>
      <c r="L113" s="1096"/>
      <c r="M113" s="1094"/>
      <c r="N113" s="1095"/>
      <c r="O113"/>
    </row>
    <row r="114" spans="1:15" ht="18" x14ac:dyDescent="0.3">
      <c r="A114" s="1384"/>
      <c r="B114" s="1082">
        <f t="shared" si="17"/>
        <v>17</v>
      </c>
      <c r="C114" s="1082">
        <f t="shared" si="17"/>
        <v>5</v>
      </c>
      <c r="D114" s="1082" t="str">
        <f t="shared" si="16"/>
        <v>Boisson spécial numéro 5</v>
      </c>
      <c r="E114" s="1091">
        <f t="shared" si="16"/>
        <v>2.76</v>
      </c>
      <c r="F114" s="1128">
        <f t="shared" si="16"/>
        <v>9.1999999999999993</v>
      </c>
      <c r="G114" s="1044">
        <f t="shared" si="18"/>
        <v>0.3</v>
      </c>
      <c r="H114" s="1092">
        <f t="shared" si="19"/>
        <v>6.4399999999999995</v>
      </c>
      <c r="I114" s="1087"/>
      <c r="J114" s="1082"/>
      <c r="K114" s="1082"/>
      <c r="L114" s="1096"/>
      <c r="M114" s="1094"/>
      <c r="N114" s="1095"/>
      <c r="O114"/>
    </row>
    <row r="115" spans="1:15" ht="18" x14ac:dyDescent="0.3">
      <c r="A115" s="1384"/>
      <c r="B115" s="1082">
        <f t="shared" si="17"/>
        <v>18</v>
      </c>
      <c r="C115" s="1082">
        <f t="shared" si="17"/>
        <v>6</v>
      </c>
      <c r="D115" s="1082" t="str">
        <f t="shared" si="16"/>
        <v>Boisson spécial numéro 6</v>
      </c>
      <c r="E115" s="1091">
        <f t="shared" si="16"/>
        <v>2.8</v>
      </c>
      <c r="F115" s="1128">
        <f t="shared" si="16"/>
        <v>9.4</v>
      </c>
      <c r="G115" s="1044">
        <f t="shared" si="18"/>
        <v>0.2978723404255319</v>
      </c>
      <c r="H115" s="1092">
        <f t="shared" si="19"/>
        <v>6.6000000000000005</v>
      </c>
      <c r="I115" s="1087"/>
      <c r="J115" s="1082"/>
      <c r="K115" s="1082"/>
      <c r="L115" s="1096"/>
      <c r="M115" s="1094"/>
      <c r="N115" s="1095"/>
      <c r="O115"/>
    </row>
    <row r="116" spans="1:15" ht="18" x14ac:dyDescent="0.3">
      <c r="A116" s="1384"/>
      <c r="B116" s="1082">
        <f t="shared" si="17"/>
        <v>19</v>
      </c>
      <c r="C116" s="1082">
        <f t="shared" si="17"/>
        <v>7</v>
      </c>
      <c r="D116" s="1082" t="str">
        <f t="shared" si="16"/>
        <v>Boisson spécial numéro 7</v>
      </c>
      <c r="E116" s="1091">
        <f t="shared" si="16"/>
        <v>2.82</v>
      </c>
      <c r="F116" s="1128">
        <f t="shared" si="16"/>
        <v>9.6</v>
      </c>
      <c r="G116" s="1044">
        <f t="shared" si="18"/>
        <v>0.29375000000000001</v>
      </c>
      <c r="H116" s="1092">
        <f t="shared" si="19"/>
        <v>6.7799999999999994</v>
      </c>
      <c r="I116" s="1087"/>
      <c r="J116" s="1082"/>
      <c r="K116" s="1082"/>
      <c r="L116" s="1096"/>
      <c r="M116" s="1094"/>
      <c r="N116" s="1095"/>
      <c r="O116"/>
    </row>
    <row r="117" spans="1:15" ht="18" x14ac:dyDescent="0.3">
      <c r="A117" s="1384"/>
      <c r="B117" s="1082">
        <f t="shared" si="17"/>
        <v>20</v>
      </c>
      <c r="C117" s="1082">
        <f t="shared" si="17"/>
        <v>8</v>
      </c>
      <c r="D117" s="1082" t="str">
        <f t="shared" si="16"/>
        <v>Boisson spécial numéro 8</v>
      </c>
      <c r="E117" s="1091">
        <f t="shared" si="16"/>
        <v>2.86</v>
      </c>
      <c r="F117" s="1128">
        <f t="shared" si="16"/>
        <v>9.8000000000000007</v>
      </c>
      <c r="G117" s="1044">
        <f t="shared" si="18"/>
        <v>0.2918367346938775</v>
      </c>
      <c r="H117" s="1092">
        <f t="shared" si="19"/>
        <v>6.9400000000000013</v>
      </c>
      <c r="I117" s="1087"/>
      <c r="J117" s="1082"/>
      <c r="K117" s="1082"/>
      <c r="L117" s="1096"/>
      <c r="M117" s="1094"/>
      <c r="N117" s="1095"/>
      <c r="O117"/>
    </row>
    <row r="118" spans="1:15" ht="18" x14ac:dyDescent="0.3">
      <c r="A118" s="1384"/>
      <c r="B118" s="1082">
        <f t="shared" si="17"/>
        <v>21</v>
      </c>
      <c r="C118" s="1082">
        <f t="shared" si="17"/>
        <v>9</v>
      </c>
      <c r="D118" s="1082" t="str">
        <f t="shared" si="16"/>
        <v>Boisson spécial numéro 9</v>
      </c>
      <c r="E118" s="1091">
        <f t="shared" si="16"/>
        <v>2.9</v>
      </c>
      <c r="F118" s="1128">
        <f t="shared" si="16"/>
        <v>10</v>
      </c>
      <c r="G118" s="1044">
        <f t="shared" si="18"/>
        <v>0.28999999999999998</v>
      </c>
      <c r="H118" s="1092">
        <f t="shared" si="19"/>
        <v>7.1</v>
      </c>
      <c r="I118" s="1087"/>
      <c r="J118" s="1082"/>
      <c r="K118" s="1082"/>
      <c r="L118" s="1096"/>
      <c r="M118" s="1094"/>
      <c r="N118" s="1095"/>
      <c r="O118"/>
    </row>
    <row r="119" spans="1:15" ht="18" x14ac:dyDescent="0.3">
      <c r="A119" s="1384"/>
      <c r="B119" s="1082">
        <f t="shared" si="17"/>
        <v>22</v>
      </c>
      <c r="C119" s="1082">
        <f t="shared" si="17"/>
        <v>10</v>
      </c>
      <c r="D119" s="1082" t="str">
        <f t="shared" si="16"/>
        <v>Boisson spécial numéro 10</v>
      </c>
      <c r="E119" s="1091">
        <f t="shared" si="16"/>
        <v>2.98</v>
      </c>
      <c r="F119" s="1128">
        <f t="shared" si="16"/>
        <v>10.4</v>
      </c>
      <c r="G119" s="1044">
        <f t="shared" si="18"/>
        <v>0.28653846153846152</v>
      </c>
      <c r="H119" s="1092">
        <f t="shared" si="19"/>
        <v>7.42</v>
      </c>
      <c r="I119" s="1087"/>
      <c r="J119" s="1082"/>
      <c r="K119" s="1082"/>
      <c r="L119" s="1096"/>
      <c r="M119" s="1094"/>
      <c r="N119" s="1095"/>
      <c r="O119"/>
    </row>
    <row r="120" spans="1:15" ht="18" x14ac:dyDescent="0.3">
      <c r="A120" s="1384"/>
      <c r="B120" s="1082">
        <f t="shared" si="17"/>
        <v>23</v>
      </c>
      <c r="C120" s="1082">
        <f t="shared" si="17"/>
        <v>11</v>
      </c>
      <c r="D120" s="1082" t="str">
        <f t="shared" si="16"/>
        <v>Boisson spécial numéro 11</v>
      </c>
      <c r="E120" s="1091">
        <f t="shared" si="16"/>
        <v>3.18</v>
      </c>
      <c r="F120" s="1128">
        <f t="shared" si="16"/>
        <v>11.6</v>
      </c>
      <c r="G120" s="1044">
        <f t="shared" si="18"/>
        <v>0.27413793103448281</v>
      </c>
      <c r="H120" s="1092">
        <f t="shared" si="19"/>
        <v>8.42</v>
      </c>
      <c r="I120" s="1087"/>
      <c r="J120" s="1082"/>
      <c r="K120" s="1082"/>
      <c r="L120" s="1096"/>
      <c r="M120" s="1094"/>
      <c r="N120" s="1095"/>
      <c r="O120"/>
    </row>
    <row r="121" spans="1:15" ht="18" x14ac:dyDescent="0.3">
      <c r="A121" s="1384"/>
      <c r="B121" s="1082">
        <f t="shared" si="17"/>
        <v>24</v>
      </c>
      <c r="C121" s="1082">
        <f t="shared" si="17"/>
        <v>12</v>
      </c>
      <c r="D121" s="1082" t="str">
        <f t="shared" si="16"/>
        <v>Boisson spécial numéro 12</v>
      </c>
      <c r="E121" s="1091">
        <f t="shared" si="16"/>
        <v>3.48</v>
      </c>
      <c r="F121" s="1128">
        <f t="shared" si="16"/>
        <v>13.2</v>
      </c>
      <c r="G121" s="1044">
        <f>E121/F121</f>
        <v>0.26363636363636367</v>
      </c>
      <c r="H121" s="1092">
        <f>F121-E121</f>
        <v>9.7199999999999989</v>
      </c>
      <c r="I121" s="1087"/>
      <c r="J121" s="1082"/>
      <c r="K121" s="1082"/>
      <c r="L121" s="1096"/>
      <c r="M121" s="1094"/>
      <c r="N121" s="1095"/>
      <c r="O121"/>
    </row>
    <row r="122" spans="1:15" ht="19" x14ac:dyDescent="0.35">
      <c r="A122" s="1384"/>
      <c r="B122" s="1082"/>
      <c r="C122" s="1082"/>
      <c r="D122" s="1042" t="str">
        <f t="shared" si="16"/>
        <v>CmO—PmO—Beverage Cost—Marge brute</v>
      </c>
      <c r="E122" s="1046">
        <f>SUM(E110:E121)/C121</f>
        <v>2.8483333333333332</v>
      </c>
      <c r="F122" s="1046">
        <f>SUM(F110:F121)/C121</f>
        <v>9.5333333333333332</v>
      </c>
      <c r="G122" s="1050">
        <f>E122/F122</f>
        <v>0.29877622377622376</v>
      </c>
      <c r="H122" s="1048">
        <f>F122-E122</f>
        <v>6.6850000000000005</v>
      </c>
      <c r="I122" s="1100"/>
      <c r="J122" s="1082"/>
      <c r="K122" s="1082"/>
      <c r="L122" s="1096">
        <f>'Formule pour le calcul D'!AH26</f>
        <v>1</v>
      </c>
      <c r="M122" s="1094"/>
      <c r="N122" s="1095">
        <f>+L122*M127</f>
        <v>4113</v>
      </c>
      <c r="O122"/>
    </row>
    <row r="123" spans="1:15" ht="19" thickBot="1" x14ac:dyDescent="0.35">
      <c r="A123" s="1384"/>
      <c r="B123" s="1082"/>
      <c r="C123" s="1082"/>
      <c r="D123" s="1082"/>
      <c r="E123" s="1091"/>
      <c r="F123" s="1091"/>
      <c r="G123" s="1043"/>
      <c r="H123" s="1049"/>
      <c r="I123" s="1082"/>
      <c r="J123" s="1082"/>
      <c r="K123" s="1082"/>
      <c r="L123" s="1096"/>
      <c r="M123" s="1094"/>
      <c r="N123" s="1095"/>
      <c r="O123"/>
    </row>
    <row r="124" spans="1:15" ht="21" thickTop="1" thickBot="1" x14ac:dyDescent="0.4">
      <c r="A124" s="1384"/>
      <c r="B124" s="1082"/>
      <c r="C124" s="1051"/>
      <c r="D124" s="1052"/>
      <c r="E124" s="1102"/>
      <c r="F124" s="1102"/>
      <c r="G124" s="1053"/>
      <c r="H124" s="1103"/>
      <c r="I124" s="1104"/>
      <c r="J124" s="1082"/>
      <c r="K124" s="1082"/>
      <c r="L124" s="1096"/>
      <c r="M124" s="1094"/>
      <c r="N124" s="1095"/>
      <c r="O124"/>
    </row>
    <row r="125" spans="1:15" ht="20" thickTop="1" thickBot="1" x14ac:dyDescent="0.35">
      <c r="A125" s="1384"/>
      <c r="B125" s="1082"/>
      <c r="C125" s="1055"/>
      <c r="D125" s="1042"/>
      <c r="E125" s="1105" t="str">
        <f>E82</f>
        <v>CmO</v>
      </c>
      <c r="F125" s="1105" t="str">
        <f>F82</f>
        <v>PmO</v>
      </c>
      <c r="G125" s="1056" t="str">
        <f>G82</f>
        <v>F&amp;BCmO</v>
      </c>
      <c r="H125" s="1106" t="str">
        <f>H82</f>
        <v>BmO</v>
      </c>
      <c r="I125" s="1107"/>
      <c r="J125" s="1082"/>
      <c r="K125" s="1082"/>
      <c r="L125" s="1096"/>
      <c r="M125" s="1094"/>
      <c r="N125" s="1095"/>
      <c r="O125"/>
    </row>
    <row r="126" spans="1:15" ht="19" thickTop="1" x14ac:dyDescent="0.3">
      <c r="A126" s="1384"/>
      <c r="B126" s="1082"/>
      <c r="C126" s="1055"/>
      <c r="D126" s="1057" t="str">
        <f>D83</f>
        <v>OFFRE TOTALE AVEC LES GÂTERIES ET LES CAFÉS GÂTERIES</v>
      </c>
      <c r="E126" s="1091"/>
      <c r="F126" s="1091"/>
      <c r="G126" s="1043"/>
      <c r="H126" s="1049"/>
      <c r="I126" s="1058"/>
      <c r="J126" s="1082"/>
      <c r="K126" s="1082"/>
      <c r="L126" s="1096"/>
      <c r="M126" s="1094"/>
      <c r="N126" s="1095"/>
      <c r="O126"/>
    </row>
    <row r="127" spans="1:15" ht="19" x14ac:dyDescent="0.35">
      <c r="A127" s="1384"/>
      <c r="B127" s="1082"/>
      <c r="C127" s="1055"/>
      <c r="D127" s="1042" t="str">
        <f>D84</f>
        <v>CmO—PmO—F&amp;B cost moyen offert—Marge brute</v>
      </c>
      <c r="E127" s="1059">
        <f>+(E95+E96+E97+E98+E99+E100+E101+E102+E103+E104+E105+E106+E110+E111+E112+E113+E114+E115+E116+E117+E118+E119+E120+E121)/B121</f>
        <v>2.1649999999999996</v>
      </c>
      <c r="F127" s="1059">
        <f>+(F95+F96+F97+F98+F99+F100+F101+F102+F103+F104+F105+F106+F110+F111+F112+F113+F114+F115+F116+F117+F118+F119+F120+F121)/B121</f>
        <v>7.1749999999999998</v>
      </c>
      <c r="G127" s="1060">
        <f>E127/F127</f>
        <v>0.30174216027874562</v>
      </c>
      <c r="H127" s="1061">
        <f>F127-E127</f>
        <v>5.01</v>
      </c>
      <c r="I127" s="1108"/>
      <c r="J127" s="1082"/>
      <c r="K127" s="1082"/>
      <c r="L127" s="1096">
        <f>L84</f>
        <v>3</v>
      </c>
      <c r="M127" s="1121">
        <f>'% Occupation'!F19</f>
        <v>4113</v>
      </c>
      <c r="N127" s="1095">
        <f>+N107+N122</f>
        <v>12339</v>
      </c>
      <c r="O127"/>
    </row>
    <row r="128" spans="1:15" ht="18" x14ac:dyDescent="0.3">
      <c r="A128" s="1384"/>
      <c r="B128" s="1082"/>
      <c r="C128" s="1055"/>
      <c r="D128" s="1082"/>
      <c r="E128" s="1109"/>
      <c r="F128" s="1109"/>
      <c r="G128" s="1045"/>
      <c r="H128" s="1062"/>
      <c r="I128" s="1063"/>
      <c r="J128" s="1082"/>
      <c r="K128" s="1082"/>
      <c r="L128" s="1096"/>
      <c r="M128" s="1094"/>
      <c r="N128" s="1095"/>
      <c r="O128"/>
    </row>
    <row r="129" spans="1:15" ht="19" thickBot="1" x14ac:dyDescent="0.35">
      <c r="A129" s="1384"/>
      <c r="B129" s="1082"/>
      <c r="C129" s="1072"/>
      <c r="D129" s="1073"/>
      <c r="E129" s="1110"/>
      <c r="F129" s="1110"/>
      <c r="G129" s="1074"/>
      <c r="H129" s="1075"/>
      <c r="I129" s="1076"/>
      <c r="J129" s="1082"/>
      <c r="K129" s="1082"/>
      <c r="L129" s="1111"/>
      <c r="M129" s="1112"/>
      <c r="N129" s="1113"/>
      <c r="O129"/>
    </row>
    <row r="130" spans="1:15" ht="19" thickTop="1" x14ac:dyDescent="0.3">
      <c r="A130" s="1384"/>
      <c r="B130" s="1054"/>
      <c r="C130" s="1054"/>
      <c r="D130" s="1054"/>
      <c r="E130" s="1054"/>
      <c r="F130" s="1054"/>
      <c r="G130" s="1054"/>
      <c r="H130" s="1054"/>
      <c r="I130" s="1054"/>
      <c r="J130" s="1082"/>
      <c r="K130" s="1082"/>
      <c r="L130" s="1085"/>
      <c r="M130" s="1114"/>
      <c r="N130" s="1086"/>
      <c r="O130"/>
    </row>
    <row r="131" spans="1:15" ht="23" x14ac:dyDescent="0.3">
      <c r="A131" s="1384"/>
      <c r="D131" s="1038" t="s">
        <v>553</v>
      </c>
      <c r="F131" s="1084"/>
      <c r="L131" s="1085"/>
      <c r="M131" s="1114"/>
      <c r="N131" s="1086"/>
      <c r="O131"/>
    </row>
    <row r="132" spans="1:15" ht="24" thickBot="1" x14ac:dyDescent="0.35">
      <c r="A132" s="1384"/>
      <c r="D132" s="1039"/>
      <c r="L132" s="1085"/>
      <c r="M132" s="1114"/>
      <c r="N132" s="1086"/>
      <c r="O132"/>
    </row>
    <row r="133" spans="1:15" ht="23" customHeight="1" thickTop="1" x14ac:dyDescent="0.25">
      <c r="A133" s="1384"/>
      <c r="D133" s="1039"/>
      <c r="E133" s="1378" t="str">
        <f>E90</f>
        <v>Coûts des ressources alimentaires pour chaque produit offert (voir recettes standardisées)</v>
      </c>
      <c r="F133" s="1378" t="str">
        <f>F90</f>
        <v>Prix de vente par produit offert</v>
      </c>
      <c r="G133" s="1378" t="str">
        <f>G90</f>
        <v xml:space="preserve">« Food &amp; Beverage Cost » </v>
      </c>
      <c r="H133" s="1378" t="str">
        <f>H90</f>
        <v>Marge brute gagnée sur la vente de chaque produit offert</v>
      </c>
      <c r="I133" s="1040"/>
      <c r="L133" s="1369" t="s">
        <v>592</v>
      </c>
      <c r="M133" s="1369" t="s">
        <v>593</v>
      </c>
      <c r="N133" s="1369" t="s">
        <v>594</v>
      </c>
      <c r="O133"/>
    </row>
    <row r="134" spans="1:15" ht="22" x14ac:dyDescent="0.25">
      <c r="A134" s="1384"/>
      <c r="D134" s="1039"/>
      <c r="E134" s="1379"/>
      <c r="F134" s="1381"/>
      <c r="G134" s="1381"/>
      <c r="H134" s="1381"/>
      <c r="I134" s="1041"/>
      <c r="L134" s="1370"/>
      <c r="M134" s="1372"/>
      <c r="N134" s="1370"/>
      <c r="O134"/>
    </row>
    <row r="135" spans="1:15" ht="14" thickBot="1" x14ac:dyDescent="0.2">
      <c r="A135" s="1384"/>
      <c r="E135" s="1380"/>
      <c r="F135" s="1382"/>
      <c r="G135" s="1382"/>
      <c r="H135" s="1382"/>
      <c r="I135" s="1041"/>
      <c r="L135" s="1371"/>
      <c r="M135" s="1373"/>
      <c r="N135" s="1371"/>
      <c r="O135"/>
    </row>
    <row r="136" spans="1:15" ht="18" thickTop="1" thickBot="1" x14ac:dyDescent="0.35">
      <c r="A136" s="1384"/>
      <c r="B136" s="161" t="s">
        <v>2</v>
      </c>
      <c r="E136" s="1084"/>
      <c r="F136" s="1084"/>
      <c r="G136" s="314"/>
      <c r="L136" s="1085"/>
      <c r="M136" s="1114"/>
      <c r="N136" s="1086"/>
      <c r="O136"/>
    </row>
    <row r="137" spans="1:15" ht="19" thickTop="1" x14ac:dyDescent="0.3">
      <c r="A137" s="1384"/>
      <c r="B137" s="1082"/>
      <c r="C137" s="1082"/>
      <c r="D137" s="1042" t="str">
        <f t="shared" ref="D137:F150" si="20">D94</f>
        <v>Les Petite Gâteries</v>
      </c>
      <c r="E137" s="1087"/>
      <c r="F137" s="1087"/>
      <c r="G137" s="1043"/>
      <c r="H137" s="1082"/>
      <c r="I137" s="1082"/>
      <c r="J137" s="1082"/>
      <c r="K137" s="1082"/>
      <c r="L137" s="1088"/>
      <c r="M137" s="1089"/>
      <c r="N137" s="1090"/>
      <c r="O137"/>
    </row>
    <row r="138" spans="1:15" ht="18" x14ac:dyDescent="0.3">
      <c r="A138" s="1384"/>
      <c r="B138" s="1082">
        <f t="shared" ref="B138:C149" si="21">B95</f>
        <v>1</v>
      </c>
      <c r="C138" s="1082">
        <f t="shared" si="21"/>
        <v>1</v>
      </c>
      <c r="D138" s="1082" t="str">
        <f t="shared" si="20"/>
        <v>Petite Gâterie 1</v>
      </c>
      <c r="E138" s="1091">
        <f t="shared" si="20"/>
        <v>1.21</v>
      </c>
      <c r="F138" s="1131">
        <v>3.3</v>
      </c>
      <c r="G138" s="1044">
        <f t="shared" ref="G138:G150" si="22">E138/F138</f>
        <v>0.3666666666666667</v>
      </c>
      <c r="H138" s="1092">
        <f t="shared" ref="H138:H150" si="23">F138-E138</f>
        <v>2.09</v>
      </c>
      <c r="I138" s="1087">
        <f>F138</f>
        <v>3.3</v>
      </c>
      <c r="J138" s="1374">
        <f>3/12</f>
        <v>0.25</v>
      </c>
      <c r="K138" s="1081"/>
      <c r="L138" s="1093"/>
      <c r="M138" s="1094"/>
      <c r="N138" s="1095"/>
      <c r="O138"/>
    </row>
    <row r="139" spans="1:15" ht="18" x14ac:dyDescent="0.3">
      <c r="A139" s="1384"/>
      <c r="B139" s="1082">
        <f t="shared" si="21"/>
        <v>2</v>
      </c>
      <c r="C139" s="1082">
        <f t="shared" si="21"/>
        <v>2</v>
      </c>
      <c r="D139" s="1082" t="str">
        <f t="shared" si="20"/>
        <v>Petite Gâterie 2</v>
      </c>
      <c r="E139" s="1091">
        <f t="shared" si="20"/>
        <v>1.31</v>
      </c>
      <c r="F139" s="1128">
        <f t="shared" si="20"/>
        <v>3.8</v>
      </c>
      <c r="G139" s="1044">
        <f t="shared" si="22"/>
        <v>0.34473684210526317</v>
      </c>
      <c r="H139" s="1092">
        <f t="shared" si="23"/>
        <v>2.4899999999999998</v>
      </c>
      <c r="I139" s="1087"/>
      <c r="J139" s="1375"/>
      <c r="K139" s="1080"/>
      <c r="L139" s="1096"/>
      <c r="M139" s="1094"/>
      <c r="N139" s="1095"/>
      <c r="O139"/>
    </row>
    <row r="140" spans="1:15" ht="19" thickBot="1" x14ac:dyDescent="0.35">
      <c r="A140" s="1384"/>
      <c r="B140" s="1070">
        <f t="shared" si="21"/>
        <v>3</v>
      </c>
      <c r="C140" s="1070">
        <f t="shared" si="21"/>
        <v>3</v>
      </c>
      <c r="D140" s="1070" t="str">
        <f t="shared" si="20"/>
        <v>Petite Gâterie 3</v>
      </c>
      <c r="E140" s="1097">
        <f t="shared" si="20"/>
        <v>1.35</v>
      </c>
      <c r="F140" s="1129">
        <f t="shared" si="20"/>
        <v>4</v>
      </c>
      <c r="G140" s="1071">
        <f t="shared" si="22"/>
        <v>0.33750000000000002</v>
      </c>
      <c r="H140" s="1098">
        <f t="shared" si="23"/>
        <v>2.65</v>
      </c>
      <c r="I140" s="1099">
        <f>+I138+1.066667</f>
        <v>4.3666669999999996</v>
      </c>
      <c r="J140" s="1376"/>
      <c r="K140" s="1080"/>
      <c r="L140" s="1096"/>
      <c r="M140" s="1094"/>
      <c r="N140" s="1095"/>
      <c r="O140"/>
    </row>
    <row r="141" spans="1:15" ht="18" x14ac:dyDescent="0.3">
      <c r="A141" s="1384"/>
      <c r="B141" s="1082">
        <f t="shared" si="21"/>
        <v>4</v>
      </c>
      <c r="C141" s="1082">
        <f t="shared" si="21"/>
        <v>4</v>
      </c>
      <c r="D141" s="1082" t="str">
        <f t="shared" si="20"/>
        <v>Petite Gâterie 4</v>
      </c>
      <c r="E141" s="1091">
        <f t="shared" si="20"/>
        <v>1.4</v>
      </c>
      <c r="F141" s="1128">
        <f t="shared" si="20"/>
        <v>4.5</v>
      </c>
      <c r="G141" s="1044">
        <f t="shared" si="22"/>
        <v>0.31111111111111112</v>
      </c>
      <c r="H141" s="1092">
        <f t="shared" si="23"/>
        <v>3.1</v>
      </c>
      <c r="I141" s="1087">
        <f>+I140+0.01</f>
        <v>4.3766669999999994</v>
      </c>
      <c r="J141" s="1377">
        <f>7/12</f>
        <v>0.58333333333333337</v>
      </c>
      <c r="K141" s="1081"/>
      <c r="L141" s="1096"/>
      <c r="M141" s="1094"/>
      <c r="N141" s="1095"/>
      <c r="O141"/>
    </row>
    <row r="142" spans="1:15" ht="18" x14ac:dyDescent="0.3">
      <c r="A142" s="1384"/>
      <c r="B142" s="1082">
        <f t="shared" si="21"/>
        <v>5</v>
      </c>
      <c r="C142" s="1082">
        <f t="shared" si="21"/>
        <v>5</v>
      </c>
      <c r="D142" s="1082" t="str">
        <f t="shared" si="20"/>
        <v>Petite Gâterie 5</v>
      </c>
      <c r="E142" s="1091">
        <f t="shared" si="20"/>
        <v>1.24</v>
      </c>
      <c r="F142" s="1128">
        <f t="shared" si="20"/>
        <v>4.5999999999999996</v>
      </c>
      <c r="G142" s="1044">
        <f t="shared" si="22"/>
        <v>0.26956521739130435</v>
      </c>
      <c r="H142" s="1092">
        <f t="shared" si="23"/>
        <v>3.3599999999999994</v>
      </c>
      <c r="I142" s="1087"/>
      <c r="J142" s="1375"/>
      <c r="K142" s="1080"/>
      <c r="L142" s="1096"/>
      <c r="M142" s="1094"/>
      <c r="N142" s="1095"/>
      <c r="O142"/>
    </row>
    <row r="143" spans="1:15" ht="18" x14ac:dyDescent="0.3">
      <c r="A143" s="1384"/>
      <c r="B143" s="1082">
        <f t="shared" si="21"/>
        <v>6</v>
      </c>
      <c r="C143" s="1082">
        <f t="shared" si="21"/>
        <v>6</v>
      </c>
      <c r="D143" s="1082" t="str">
        <f t="shared" si="20"/>
        <v>Petite Gâterie 6</v>
      </c>
      <c r="E143" s="1091">
        <f t="shared" si="20"/>
        <v>1.39</v>
      </c>
      <c r="F143" s="1128">
        <f t="shared" si="20"/>
        <v>4.7</v>
      </c>
      <c r="G143" s="1044">
        <f t="shared" si="22"/>
        <v>0.29574468085106381</v>
      </c>
      <c r="H143" s="1092">
        <f t="shared" si="23"/>
        <v>3.3100000000000005</v>
      </c>
      <c r="I143" s="1087"/>
      <c r="J143" s="1375"/>
      <c r="K143" s="1080"/>
      <c r="L143" s="1096"/>
      <c r="M143" s="1094"/>
      <c r="N143" s="1095"/>
      <c r="O143"/>
    </row>
    <row r="144" spans="1:15" ht="18" x14ac:dyDescent="0.3">
      <c r="A144" s="1384"/>
      <c r="B144" s="1082">
        <f t="shared" si="21"/>
        <v>7</v>
      </c>
      <c r="C144" s="1082">
        <f t="shared" si="21"/>
        <v>7</v>
      </c>
      <c r="D144" s="1082" t="str">
        <f t="shared" si="20"/>
        <v>Petite Gâterie 7</v>
      </c>
      <c r="E144" s="1091">
        <f t="shared" si="20"/>
        <v>1.51</v>
      </c>
      <c r="F144" s="1128">
        <f t="shared" si="20"/>
        <v>4.8</v>
      </c>
      <c r="G144" s="1044">
        <f t="shared" si="22"/>
        <v>0.31458333333333333</v>
      </c>
      <c r="H144" s="1092">
        <f t="shared" si="23"/>
        <v>3.29</v>
      </c>
      <c r="I144" s="1087"/>
      <c r="J144" s="1375"/>
      <c r="K144" s="1080"/>
      <c r="L144" s="1096"/>
      <c r="M144" s="1094"/>
      <c r="N144" s="1095"/>
      <c r="O144"/>
    </row>
    <row r="145" spans="1:15" ht="18" x14ac:dyDescent="0.3">
      <c r="A145" s="1384"/>
      <c r="B145" s="1082">
        <f t="shared" si="21"/>
        <v>8</v>
      </c>
      <c r="C145" s="1082">
        <f t="shared" si="21"/>
        <v>8</v>
      </c>
      <c r="D145" s="1082" t="str">
        <f t="shared" si="20"/>
        <v>Petite Gâterie 8</v>
      </c>
      <c r="E145" s="1091">
        <f t="shared" si="20"/>
        <v>1.53</v>
      </c>
      <c r="F145" s="1128">
        <f t="shared" si="20"/>
        <v>4.9000000000000004</v>
      </c>
      <c r="G145" s="1044">
        <f t="shared" si="22"/>
        <v>0.31224489795918364</v>
      </c>
      <c r="H145" s="1092">
        <f t="shared" si="23"/>
        <v>3.37</v>
      </c>
      <c r="I145" s="1087"/>
      <c r="J145" s="1375"/>
      <c r="K145" s="1080"/>
      <c r="L145" s="1096"/>
      <c r="M145" s="1094"/>
      <c r="N145" s="1095"/>
      <c r="O145"/>
    </row>
    <row r="146" spans="1:15" ht="18" x14ac:dyDescent="0.3">
      <c r="A146" s="1384"/>
      <c r="B146" s="1082">
        <f t="shared" si="21"/>
        <v>9</v>
      </c>
      <c r="C146" s="1082">
        <f t="shared" si="21"/>
        <v>9</v>
      </c>
      <c r="D146" s="1082" t="str">
        <f t="shared" si="20"/>
        <v>Petite Gâterie 9</v>
      </c>
      <c r="E146" s="1091">
        <f t="shared" si="20"/>
        <v>1.55</v>
      </c>
      <c r="F146" s="1128">
        <f t="shared" si="20"/>
        <v>5</v>
      </c>
      <c r="G146" s="1044">
        <f t="shared" si="22"/>
        <v>0.31</v>
      </c>
      <c r="H146" s="1092">
        <f t="shared" si="23"/>
        <v>3.45</v>
      </c>
      <c r="I146" s="1087"/>
      <c r="J146" s="1375"/>
      <c r="K146" s="1080"/>
      <c r="L146" s="1096"/>
      <c r="M146" s="1094"/>
      <c r="N146" s="1095"/>
      <c r="O146"/>
    </row>
    <row r="147" spans="1:15" ht="19" thickBot="1" x14ac:dyDescent="0.35">
      <c r="A147" s="1384"/>
      <c r="B147" s="1070">
        <f t="shared" si="21"/>
        <v>10</v>
      </c>
      <c r="C147" s="1070">
        <f t="shared" si="21"/>
        <v>10</v>
      </c>
      <c r="D147" s="1070" t="str">
        <f t="shared" si="20"/>
        <v>Petite Gâterie 10</v>
      </c>
      <c r="E147" s="1097">
        <f t="shared" si="20"/>
        <v>1.59</v>
      </c>
      <c r="F147" s="1129">
        <f t="shared" si="20"/>
        <v>5.2</v>
      </c>
      <c r="G147" s="1071">
        <f t="shared" si="22"/>
        <v>0.30576923076923079</v>
      </c>
      <c r="H147" s="1098">
        <f t="shared" si="23"/>
        <v>3.6100000000000003</v>
      </c>
      <c r="I147" s="1099">
        <f>+I140+1.066667</f>
        <v>5.4333339999999994</v>
      </c>
      <c r="J147" s="1376"/>
      <c r="K147" s="1080"/>
      <c r="L147" s="1096"/>
      <c r="M147" s="1094"/>
      <c r="N147" s="1095"/>
      <c r="O147"/>
    </row>
    <row r="148" spans="1:15" ht="18" x14ac:dyDescent="0.3">
      <c r="A148" s="1384"/>
      <c r="B148" s="1082">
        <f t="shared" si="21"/>
        <v>11</v>
      </c>
      <c r="C148" s="1082">
        <f t="shared" si="21"/>
        <v>11</v>
      </c>
      <c r="D148" s="1082" t="str">
        <f t="shared" si="20"/>
        <v>Petite Gâterie 11</v>
      </c>
      <c r="E148" s="1091">
        <f t="shared" si="20"/>
        <v>1.83</v>
      </c>
      <c r="F148" s="1128">
        <f t="shared" si="20"/>
        <v>6.4</v>
      </c>
      <c r="G148" s="1044">
        <f t="shared" si="22"/>
        <v>0.28593750000000001</v>
      </c>
      <c r="H148" s="1092">
        <f t="shared" si="23"/>
        <v>4.57</v>
      </c>
      <c r="I148" s="1087">
        <f>+I147+0.01</f>
        <v>5.4433339999999992</v>
      </c>
      <c r="J148" s="1377">
        <f>2/12</f>
        <v>0.16666666666666666</v>
      </c>
      <c r="K148" s="1081"/>
      <c r="L148" s="1096"/>
      <c r="M148" s="1094"/>
      <c r="N148" s="1095"/>
      <c r="O148"/>
    </row>
    <row r="149" spans="1:15" ht="18" x14ac:dyDescent="0.3">
      <c r="A149" s="1384"/>
      <c r="B149" s="1082">
        <f t="shared" si="21"/>
        <v>12</v>
      </c>
      <c r="C149" s="1082">
        <f t="shared" si="21"/>
        <v>12</v>
      </c>
      <c r="D149" s="1082" t="str">
        <f t="shared" si="20"/>
        <v>Petite Gâterie 12</v>
      </c>
      <c r="E149" s="1091">
        <f t="shared" si="20"/>
        <v>1.87</v>
      </c>
      <c r="F149" s="1128">
        <f t="shared" si="20"/>
        <v>6.6</v>
      </c>
      <c r="G149" s="1044">
        <f t="shared" si="22"/>
        <v>0.28333333333333338</v>
      </c>
      <c r="H149" s="1092">
        <f t="shared" si="23"/>
        <v>4.7299999999999995</v>
      </c>
      <c r="I149" s="1087">
        <f>F149</f>
        <v>6.6</v>
      </c>
      <c r="J149" s="1375"/>
      <c r="K149" s="1080"/>
      <c r="L149" s="1096"/>
      <c r="M149" s="1094"/>
      <c r="N149" s="1095"/>
      <c r="O149"/>
    </row>
    <row r="150" spans="1:15" ht="19" x14ac:dyDescent="0.35">
      <c r="A150" s="1384"/>
      <c r="B150" s="1082"/>
      <c r="C150" s="1082"/>
      <c r="D150" s="1042" t="str">
        <f t="shared" si="20"/>
        <v>CmO—PmO—Food Cost—BmO</v>
      </c>
      <c r="E150" s="1046">
        <f>SUM(E138:E149)/C149</f>
        <v>1.4816666666666667</v>
      </c>
      <c r="F150" s="1059">
        <f>SUM(F138:F149)/C149</f>
        <v>4.8166666666666673</v>
      </c>
      <c r="G150" s="1047">
        <f t="shared" si="22"/>
        <v>0.30761245674740478</v>
      </c>
      <c r="H150" s="1048">
        <f t="shared" si="23"/>
        <v>3.3350000000000009</v>
      </c>
      <c r="I150" s="1100"/>
      <c r="J150" s="1082"/>
      <c r="K150" s="1082"/>
      <c r="L150" s="1101">
        <f>'Formule pour le calcul D'!V34</f>
        <v>2.0499999999999998</v>
      </c>
      <c r="M150" s="1094"/>
      <c r="N150" s="1095">
        <f>+L150*M170</f>
        <v>8530.0499999999993</v>
      </c>
      <c r="O150"/>
    </row>
    <row r="151" spans="1:15" ht="18" x14ac:dyDescent="0.3">
      <c r="A151" s="1384"/>
      <c r="B151" s="1082" t="s">
        <v>2</v>
      </c>
      <c r="C151" s="1082"/>
      <c r="D151" s="1082"/>
      <c r="E151" s="1091"/>
      <c r="F151" s="1091"/>
      <c r="G151" s="1044"/>
      <c r="H151" s="1049"/>
      <c r="I151" s="1087"/>
      <c r="J151" s="1082"/>
      <c r="K151" s="1082"/>
      <c r="L151" s="1096"/>
      <c r="M151" s="1094"/>
      <c r="N151" s="1095"/>
      <c r="O151"/>
    </row>
    <row r="152" spans="1:15" ht="18" x14ac:dyDescent="0.3">
      <c r="A152" s="1384"/>
      <c r="B152" s="1082"/>
      <c r="C152" s="1082"/>
      <c r="D152" s="1042" t="str">
        <f t="shared" ref="D152:F165" si="24">D109</f>
        <v>Les Boissons  Gâteries</v>
      </c>
      <c r="E152" s="1091"/>
      <c r="F152" s="1091"/>
      <c r="G152" s="1044"/>
      <c r="H152" s="1049"/>
      <c r="I152" s="1087"/>
      <c r="J152" s="1082"/>
      <c r="K152" s="1082"/>
      <c r="L152" s="1096"/>
      <c r="M152" s="1094"/>
      <c r="N152" s="1095"/>
      <c r="O152"/>
    </row>
    <row r="153" spans="1:15" ht="18" x14ac:dyDescent="0.3">
      <c r="A153" s="1384"/>
      <c r="B153" s="1082">
        <f t="shared" ref="B153:C164" si="25">B110</f>
        <v>13</v>
      </c>
      <c r="C153" s="1082">
        <f t="shared" si="25"/>
        <v>1</v>
      </c>
      <c r="D153" s="1082" t="str">
        <f t="shared" si="24"/>
        <v>Boisson spécial numéro 1</v>
      </c>
      <c r="E153" s="1091">
        <f t="shared" si="24"/>
        <v>2.2799999999999998</v>
      </c>
      <c r="F153" s="1131">
        <f>F110</f>
        <v>6.6</v>
      </c>
      <c r="G153" s="1044">
        <f>E153/F153</f>
        <v>0.34545454545454546</v>
      </c>
      <c r="H153" s="1092">
        <f>F153-E153</f>
        <v>4.32</v>
      </c>
      <c r="I153" s="1087">
        <f>F153</f>
        <v>6.6</v>
      </c>
      <c r="J153" s="1374">
        <f>3/12</f>
        <v>0.25</v>
      </c>
      <c r="K153" s="1081"/>
      <c r="L153" s="1096"/>
      <c r="M153" s="1094"/>
      <c r="N153" s="1095"/>
      <c r="O153"/>
    </row>
    <row r="154" spans="1:15" ht="18" x14ac:dyDescent="0.3">
      <c r="A154" s="1384"/>
      <c r="B154" s="1082">
        <f t="shared" si="25"/>
        <v>14</v>
      </c>
      <c r="C154" s="1082">
        <f t="shared" si="25"/>
        <v>2</v>
      </c>
      <c r="D154" s="1082" t="str">
        <f t="shared" si="24"/>
        <v>Boisson spécial numéro 2</v>
      </c>
      <c r="E154" s="1091">
        <f t="shared" si="24"/>
        <v>2.66</v>
      </c>
      <c r="F154" s="1128">
        <f t="shared" si="24"/>
        <v>7.6</v>
      </c>
      <c r="G154" s="1044">
        <f>E154/F154</f>
        <v>0.35000000000000003</v>
      </c>
      <c r="H154" s="1092">
        <f>F154-E154</f>
        <v>4.9399999999999995</v>
      </c>
      <c r="I154" s="1087"/>
      <c r="J154" s="1375"/>
      <c r="K154" s="1080"/>
      <c r="L154" s="1096"/>
      <c r="M154" s="1094"/>
      <c r="N154" s="1095"/>
      <c r="O154"/>
    </row>
    <row r="155" spans="1:15" ht="19" thickBot="1" x14ac:dyDescent="0.35">
      <c r="A155" s="1384"/>
      <c r="B155" s="1070">
        <f t="shared" si="25"/>
        <v>15</v>
      </c>
      <c r="C155" s="1070">
        <f t="shared" si="25"/>
        <v>3</v>
      </c>
      <c r="D155" s="1070" t="str">
        <f t="shared" si="24"/>
        <v>Boisson spécial numéro 3</v>
      </c>
      <c r="E155" s="1097">
        <f t="shared" si="24"/>
        <v>2.74</v>
      </c>
      <c r="F155" s="1129">
        <f t="shared" si="24"/>
        <v>8</v>
      </c>
      <c r="G155" s="1071">
        <f>E155/F155</f>
        <v>0.34250000000000003</v>
      </c>
      <c r="H155" s="1098">
        <f>F155-E155</f>
        <v>5.26</v>
      </c>
      <c r="I155" s="1099">
        <f>+I153+2.166667</f>
        <v>8.766667</v>
      </c>
      <c r="J155" s="1376"/>
      <c r="K155" s="1080"/>
      <c r="L155" s="1096"/>
      <c r="M155" s="1094"/>
      <c r="N155" s="1095"/>
      <c r="O155"/>
    </row>
    <row r="156" spans="1:15" ht="18" x14ac:dyDescent="0.3">
      <c r="A156" s="1384"/>
      <c r="B156" s="1082">
        <f t="shared" si="25"/>
        <v>16</v>
      </c>
      <c r="C156" s="1082">
        <f t="shared" si="25"/>
        <v>4</v>
      </c>
      <c r="D156" s="1082" t="str">
        <f t="shared" si="24"/>
        <v>Boisson spécial numéro 4</v>
      </c>
      <c r="E156" s="1091">
        <f t="shared" si="24"/>
        <v>2.72</v>
      </c>
      <c r="F156" s="1128">
        <f t="shared" si="24"/>
        <v>9</v>
      </c>
      <c r="G156" s="1044">
        <f t="shared" ref="G156:G163" si="26">E156/F156</f>
        <v>0.30222222222222223</v>
      </c>
      <c r="H156" s="1092">
        <f t="shared" ref="H156:H163" si="27">F156-E156</f>
        <v>6.2799999999999994</v>
      </c>
      <c r="I156" s="1087">
        <f>+I155+0.01</f>
        <v>8.7766669999999998</v>
      </c>
      <c r="J156" s="1377">
        <f>7/12</f>
        <v>0.58333333333333337</v>
      </c>
      <c r="K156" s="1081"/>
      <c r="L156" s="1096"/>
      <c r="M156" s="1094"/>
      <c r="N156" s="1095"/>
      <c r="O156"/>
    </row>
    <row r="157" spans="1:15" ht="18" x14ac:dyDescent="0.3">
      <c r="A157" s="1384"/>
      <c r="B157" s="1082">
        <f t="shared" si="25"/>
        <v>17</v>
      </c>
      <c r="C157" s="1082">
        <f t="shared" si="25"/>
        <v>5</v>
      </c>
      <c r="D157" s="1082" t="str">
        <f t="shared" si="24"/>
        <v>Boisson spécial numéro 5</v>
      </c>
      <c r="E157" s="1091">
        <f t="shared" si="24"/>
        <v>2.76</v>
      </c>
      <c r="F157" s="1128">
        <f t="shared" si="24"/>
        <v>9.1999999999999993</v>
      </c>
      <c r="G157" s="1044">
        <f t="shared" si="26"/>
        <v>0.3</v>
      </c>
      <c r="H157" s="1092">
        <f t="shared" si="27"/>
        <v>6.4399999999999995</v>
      </c>
      <c r="I157" s="1087"/>
      <c r="J157" s="1375"/>
      <c r="K157" s="1080"/>
      <c r="L157" s="1096"/>
      <c r="M157" s="1094"/>
      <c r="N157" s="1095"/>
      <c r="O157"/>
    </row>
    <row r="158" spans="1:15" ht="18" x14ac:dyDescent="0.3">
      <c r="A158" s="1384"/>
      <c r="B158" s="1082">
        <f t="shared" si="25"/>
        <v>18</v>
      </c>
      <c r="C158" s="1082">
        <f t="shared" si="25"/>
        <v>6</v>
      </c>
      <c r="D158" s="1082" t="str">
        <f t="shared" si="24"/>
        <v>Boisson spécial numéro 6</v>
      </c>
      <c r="E158" s="1091">
        <f t="shared" si="24"/>
        <v>2.8</v>
      </c>
      <c r="F158" s="1128">
        <f t="shared" si="24"/>
        <v>9.4</v>
      </c>
      <c r="G158" s="1044">
        <f t="shared" si="26"/>
        <v>0.2978723404255319</v>
      </c>
      <c r="H158" s="1092">
        <f t="shared" si="27"/>
        <v>6.6000000000000005</v>
      </c>
      <c r="I158" s="1087"/>
      <c r="J158" s="1375"/>
      <c r="K158" s="1080"/>
      <c r="L158" s="1096"/>
      <c r="M158" s="1094"/>
      <c r="N158" s="1095"/>
      <c r="O158"/>
    </row>
    <row r="159" spans="1:15" ht="18" x14ac:dyDescent="0.3">
      <c r="A159" s="1384"/>
      <c r="B159" s="1082">
        <f t="shared" si="25"/>
        <v>19</v>
      </c>
      <c r="C159" s="1082">
        <f t="shared" si="25"/>
        <v>7</v>
      </c>
      <c r="D159" s="1082" t="str">
        <f t="shared" si="24"/>
        <v>Boisson spécial numéro 7</v>
      </c>
      <c r="E159" s="1091">
        <f t="shared" si="24"/>
        <v>2.82</v>
      </c>
      <c r="F159" s="1128">
        <f t="shared" si="24"/>
        <v>9.6</v>
      </c>
      <c r="G159" s="1044">
        <f t="shared" si="26"/>
        <v>0.29375000000000001</v>
      </c>
      <c r="H159" s="1092">
        <f t="shared" si="27"/>
        <v>6.7799999999999994</v>
      </c>
      <c r="I159" s="1087"/>
      <c r="J159" s="1375"/>
      <c r="K159" s="1080"/>
      <c r="L159" s="1096"/>
      <c r="M159" s="1094"/>
      <c r="N159" s="1095"/>
      <c r="O159"/>
    </row>
    <row r="160" spans="1:15" ht="18" x14ac:dyDescent="0.3">
      <c r="A160" s="1384"/>
      <c r="B160" s="1082">
        <f t="shared" si="25"/>
        <v>20</v>
      </c>
      <c r="C160" s="1082">
        <f t="shared" si="25"/>
        <v>8</v>
      </c>
      <c r="D160" s="1082" t="str">
        <f t="shared" si="24"/>
        <v>Boisson spécial numéro 8</v>
      </c>
      <c r="E160" s="1091">
        <f t="shared" si="24"/>
        <v>2.86</v>
      </c>
      <c r="F160" s="1128">
        <f t="shared" si="24"/>
        <v>9.8000000000000007</v>
      </c>
      <c r="G160" s="1044">
        <f t="shared" si="26"/>
        <v>0.2918367346938775</v>
      </c>
      <c r="H160" s="1092">
        <f t="shared" si="27"/>
        <v>6.9400000000000013</v>
      </c>
      <c r="I160" s="1087"/>
      <c r="J160" s="1375"/>
      <c r="K160" s="1080"/>
      <c r="L160" s="1096"/>
      <c r="M160" s="1094"/>
      <c r="N160" s="1095"/>
      <c r="O160"/>
    </row>
    <row r="161" spans="1:15" ht="18" x14ac:dyDescent="0.3">
      <c r="A161" s="1384"/>
      <c r="B161" s="1082">
        <f t="shared" si="25"/>
        <v>21</v>
      </c>
      <c r="C161" s="1082">
        <f t="shared" si="25"/>
        <v>9</v>
      </c>
      <c r="D161" s="1082" t="str">
        <f t="shared" si="24"/>
        <v>Boisson spécial numéro 9</v>
      </c>
      <c r="E161" s="1091">
        <f t="shared" si="24"/>
        <v>2.9</v>
      </c>
      <c r="F161" s="1128">
        <f t="shared" si="24"/>
        <v>10</v>
      </c>
      <c r="G161" s="1044">
        <f t="shared" si="26"/>
        <v>0.28999999999999998</v>
      </c>
      <c r="H161" s="1092">
        <f t="shared" si="27"/>
        <v>7.1</v>
      </c>
      <c r="I161" s="1087"/>
      <c r="J161" s="1375"/>
      <c r="K161" s="1080"/>
      <c r="L161" s="1096"/>
      <c r="M161" s="1094"/>
      <c r="N161" s="1095"/>
      <c r="O161"/>
    </row>
    <row r="162" spans="1:15" ht="19" thickBot="1" x14ac:dyDescent="0.35">
      <c r="A162" s="1384"/>
      <c r="B162" s="1070">
        <f t="shared" si="25"/>
        <v>22</v>
      </c>
      <c r="C162" s="1070">
        <f t="shared" si="25"/>
        <v>10</v>
      </c>
      <c r="D162" s="1070" t="str">
        <f t="shared" si="24"/>
        <v>Boisson spécial numéro 10</v>
      </c>
      <c r="E162" s="1097">
        <f t="shared" si="24"/>
        <v>2.98</v>
      </c>
      <c r="F162" s="1129">
        <f t="shared" si="24"/>
        <v>10.4</v>
      </c>
      <c r="G162" s="1071">
        <f t="shared" si="26"/>
        <v>0.28653846153846152</v>
      </c>
      <c r="H162" s="1098">
        <f t="shared" si="27"/>
        <v>7.42</v>
      </c>
      <c r="I162" s="1099">
        <f>+I155+2.166667</f>
        <v>10.933334</v>
      </c>
      <c r="J162" s="1376"/>
      <c r="K162" s="1080"/>
      <c r="L162" s="1096"/>
      <c r="M162" s="1094"/>
      <c r="N162" s="1095"/>
      <c r="O162"/>
    </row>
    <row r="163" spans="1:15" ht="18" x14ac:dyDescent="0.3">
      <c r="A163" s="1384"/>
      <c r="B163" s="1082">
        <f t="shared" si="25"/>
        <v>23</v>
      </c>
      <c r="C163" s="1082">
        <f t="shared" si="25"/>
        <v>11</v>
      </c>
      <c r="D163" s="1082" t="str">
        <f t="shared" si="24"/>
        <v>Boisson spécial numéro 11</v>
      </c>
      <c r="E163" s="1091">
        <f t="shared" si="24"/>
        <v>3.18</v>
      </c>
      <c r="F163" s="1128">
        <f t="shared" si="24"/>
        <v>11.6</v>
      </c>
      <c r="G163" s="1044">
        <f t="shared" si="26"/>
        <v>0.27413793103448281</v>
      </c>
      <c r="H163" s="1092">
        <f t="shared" si="27"/>
        <v>8.42</v>
      </c>
      <c r="I163" s="1087">
        <f>+I162+0.01</f>
        <v>10.943334</v>
      </c>
      <c r="J163" s="1377">
        <f>2/12</f>
        <v>0.16666666666666666</v>
      </c>
      <c r="K163" s="1081"/>
      <c r="L163" s="1096"/>
      <c r="M163" s="1094"/>
      <c r="N163" s="1095"/>
      <c r="O163"/>
    </row>
    <row r="164" spans="1:15" ht="18" x14ac:dyDescent="0.3">
      <c r="A164" s="1384"/>
      <c r="B164" s="1082">
        <f t="shared" si="25"/>
        <v>24</v>
      </c>
      <c r="C164" s="1082">
        <f t="shared" si="25"/>
        <v>12</v>
      </c>
      <c r="D164" s="1082" t="str">
        <f t="shared" si="24"/>
        <v>Boisson spécial numéro 12</v>
      </c>
      <c r="E164" s="1091">
        <f t="shared" si="24"/>
        <v>3.48</v>
      </c>
      <c r="F164" s="1128">
        <f t="shared" si="24"/>
        <v>13.2</v>
      </c>
      <c r="G164" s="1044">
        <f>E164/F164</f>
        <v>0.26363636363636367</v>
      </c>
      <c r="H164" s="1092">
        <f>F164-E164</f>
        <v>9.7199999999999989</v>
      </c>
      <c r="I164" s="1087">
        <f>F164</f>
        <v>13.2</v>
      </c>
      <c r="J164" s="1375"/>
      <c r="K164" s="1080"/>
      <c r="L164" s="1096"/>
      <c r="M164" s="1094"/>
      <c r="N164" s="1095"/>
      <c r="O164"/>
    </row>
    <row r="165" spans="1:15" ht="19" x14ac:dyDescent="0.35">
      <c r="A165" s="1384"/>
      <c r="B165" s="1082"/>
      <c r="C165" s="1082"/>
      <c r="D165" s="1042" t="str">
        <f t="shared" si="24"/>
        <v>CmO—PmO—Beverage Cost—Marge brute</v>
      </c>
      <c r="E165" s="1046">
        <f>SUM(E153:E164)/C164</f>
        <v>2.8483333333333332</v>
      </c>
      <c r="F165" s="1046">
        <f>SUM(F153:F164)/C164</f>
        <v>9.5333333333333332</v>
      </c>
      <c r="G165" s="1050">
        <f>E165/F165</f>
        <v>0.29877622377622376</v>
      </c>
      <c r="H165" s="1048">
        <f>F165-E165</f>
        <v>6.6850000000000005</v>
      </c>
      <c r="I165" s="1100"/>
      <c r="J165" s="1082"/>
      <c r="K165" s="1082"/>
      <c r="L165" s="1096">
        <f>'Formule pour le calcul D'!AH34</f>
        <v>1.05</v>
      </c>
      <c r="M165" s="1094"/>
      <c r="N165" s="1095">
        <f>+L165*M170</f>
        <v>4369.05</v>
      </c>
      <c r="O165"/>
    </row>
    <row r="166" spans="1:15" ht="19" thickBot="1" x14ac:dyDescent="0.35">
      <c r="A166" s="1384"/>
      <c r="B166" s="1082"/>
      <c r="C166" s="1082"/>
      <c r="D166" s="1082"/>
      <c r="E166" s="1091"/>
      <c r="F166" s="1091"/>
      <c r="G166" s="1043"/>
      <c r="H166" s="1049"/>
      <c r="I166" s="1082"/>
      <c r="J166" s="1082"/>
      <c r="K166" s="1082"/>
      <c r="L166" s="1096"/>
      <c r="M166" s="1094"/>
      <c r="N166" s="1095"/>
      <c r="O166"/>
    </row>
    <row r="167" spans="1:15" ht="21" thickTop="1" thickBot="1" x14ac:dyDescent="0.4">
      <c r="A167" s="1384"/>
      <c r="B167" s="1082"/>
      <c r="C167" s="1051"/>
      <c r="D167" s="1052"/>
      <c r="E167" s="1102"/>
      <c r="F167" s="1102"/>
      <c r="G167" s="1053"/>
      <c r="H167" s="1103"/>
      <c r="I167" s="1104"/>
      <c r="J167" s="1082"/>
      <c r="K167" s="1082"/>
      <c r="L167" s="1096"/>
      <c r="M167" s="1094"/>
      <c r="N167" s="1115"/>
    </row>
    <row r="168" spans="1:15" ht="20" thickTop="1" thickBot="1" x14ac:dyDescent="0.35">
      <c r="A168" s="1384"/>
      <c r="B168" s="1082"/>
      <c r="C168" s="1055"/>
      <c r="D168" s="1042"/>
      <c r="E168" s="1105" t="str">
        <f>E125</f>
        <v>CmO</v>
      </c>
      <c r="F168" s="1105" t="str">
        <f>F125</f>
        <v>PmO</v>
      </c>
      <c r="G168" s="1056" t="str">
        <f>G125</f>
        <v>F&amp;BCmO</v>
      </c>
      <c r="H168" s="1106" t="str">
        <f>H125</f>
        <v>BmO</v>
      </c>
      <c r="I168" s="1107"/>
      <c r="J168" s="1082"/>
      <c r="K168" s="1082"/>
      <c r="L168" s="1096"/>
      <c r="M168" s="1094"/>
      <c r="N168" s="1115"/>
    </row>
    <row r="169" spans="1:15" ht="19" thickTop="1" x14ac:dyDescent="0.3">
      <c r="A169" s="1384"/>
      <c r="B169" s="1082"/>
      <c r="C169" s="1055"/>
      <c r="D169" s="1057" t="str">
        <f>D126</f>
        <v>OFFRE TOTALE AVEC LES GÂTERIES ET LES CAFÉS GÂTERIES</v>
      </c>
      <c r="E169" s="1091"/>
      <c r="F169" s="1091"/>
      <c r="G169" s="1043"/>
      <c r="H169" s="1049"/>
      <c r="I169" s="1058"/>
      <c r="J169" s="1082"/>
      <c r="K169" s="1082"/>
      <c r="L169" s="1096"/>
      <c r="M169" s="1094"/>
      <c r="N169" s="1115"/>
    </row>
    <row r="170" spans="1:15" ht="19" x14ac:dyDescent="0.35">
      <c r="A170" s="1384"/>
      <c r="B170" s="1082"/>
      <c r="C170" s="1055"/>
      <c r="D170" s="1042" t="str">
        <f>D127</f>
        <v>CmO—PmO—F&amp;B cost moyen offert—Marge brute</v>
      </c>
      <c r="E170" s="1059">
        <f>+(E138+E139+E140+E141+E142+E143+E144+E145+E146+E147+E148+E149+E153+E154+E155+E156+E157+E158+E159+E160+E161+E162+E163+E164)/B164</f>
        <v>2.1649999999999996</v>
      </c>
      <c r="F170" s="1059">
        <f>+(F138+F139+F140+F141+F142+F143+F144+F145+F146+F147+F148+F149+F153+F154+F155+F156+F157+F158+F159+F160+F161+F162+F163+F164)/B164</f>
        <v>7.1749999999999998</v>
      </c>
      <c r="G170" s="1060">
        <f>E170/F170</f>
        <v>0.30174216027874562</v>
      </c>
      <c r="H170" s="1061">
        <f>F170-E170</f>
        <v>5.01</v>
      </c>
      <c r="I170" s="1108"/>
      <c r="J170" s="1082"/>
      <c r="K170" s="1082"/>
      <c r="L170" s="1096">
        <f>L127</f>
        <v>3</v>
      </c>
      <c r="M170" s="1121">
        <f>'% Occupation'!G19</f>
        <v>4161</v>
      </c>
      <c r="N170" s="1115">
        <f>+N150+N165</f>
        <v>12899.099999999999</v>
      </c>
    </row>
    <row r="171" spans="1:15" ht="18" x14ac:dyDescent="0.3">
      <c r="A171" s="1384"/>
      <c r="B171" s="1082"/>
      <c r="C171" s="1055"/>
      <c r="D171" s="1082"/>
      <c r="E171" s="1109"/>
      <c r="F171" s="1109"/>
      <c r="G171" s="1045"/>
      <c r="H171" s="1062"/>
      <c r="I171" s="1063"/>
      <c r="J171" s="1082"/>
      <c r="K171" s="1082"/>
      <c r="L171" s="1096"/>
      <c r="M171" s="1094"/>
      <c r="N171" s="1115"/>
    </row>
    <row r="172" spans="1:15" ht="19" thickBot="1" x14ac:dyDescent="0.35">
      <c r="A172" s="1384"/>
      <c r="B172" s="1082"/>
      <c r="C172" s="1072"/>
      <c r="D172" s="1073"/>
      <c r="E172" s="1110"/>
      <c r="F172" s="1110"/>
      <c r="G172" s="1074"/>
      <c r="H172" s="1075"/>
      <c r="I172" s="1076"/>
      <c r="J172" s="1082"/>
      <c r="K172" s="1082"/>
      <c r="L172" s="1111"/>
      <c r="M172" s="1112"/>
      <c r="N172" s="1116"/>
    </row>
    <row r="173" spans="1:15" ht="17" thickTop="1" x14ac:dyDescent="0.3">
      <c r="A173" s="1384"/>
      <c r="L173" s="1117"/>
      <c r="M173" s="1118"/>
      <c r="N173" s="589"/>
    </row>
    <row r="174" spans="1:15" ht="23" x14ac:dyDescent="0.3">
      <c r="A174" s="1384"/>
      <c r="D174" s="1038" t="s">
        <v>554</v>
      </c>
      <c r="F174" s="1084"/>
      <c r="L174" s="1117"/>
      <c r="M174" s="1118"/>
      <c r="N174" s="589"/>
    </row>
    <row r="175" spans="1:15" ht="24" thickBot="1" x14ac:dyDescent="0.35">
      <c r="A175" s="1384"/>
      <c r="D175" s="1039"/>
      <c r="L175" s="1117"/>
      <c r="M175" s="1118"/>
      <c r="N175" s="589"/>
    </row>
    <row r="176" spans="1:15" ht="23" customHeight="1" thickTop="1" x14ac:dyDescent="0.25">
      <c r="A176" s="1384"/>
      <c r="D176" s="1039"/>
      <c r="E176" s="1378" t="str">
        <f>E133</f>
        <v>Coûts des ressources alimentaires pour chaque produit offert (voir recettes standardisées)</v>
      </c>
      <c r="F176" s="1378" t="str">
        <f>F133</f>
        <v>Prix de vente par produit offert</v>
      </c>
      <c r="G176" s="1378" t="str">
        <f>G133</f>
        <v xml:space="preserve">« Food &amp; Beverage Cost » </v>
      </c>
      <c r="H176" s="1378" t="str">
        <f>H133</f>
        <v>Marge brute gagnée sur la vente de chaque produit offert</v>
      </c>
      <c r="I176" s="1040"/>
      <c r="L176" s="1369" t="s">
        <v>592</v>
      </c>
      <c r="M176" s="1369" t="s">
        <v>593</v>
      </c>
      <c r="N176" s="1369" t="s">
        <v>594</v>
      </c>
    </row>
    <row r="177" spans="1:14" ht="22" x14ac:dyDescent="0.25">
      <c r="A177" s="1384"/>
      <c r="D177" s="1039"/>
      <c r="E177" s="1379"/>
      <c r="F177" s="1381"/>
      <c r="G177" s="1381"/>
      <c r="H177" s="1381"/>
      <c r="I177" s="1041"/>
      <c r="L177" s="1370"/>
      <c r="M177" s="1372"/>
      <c r="N177" s="1370"/>
    </row>
    <row r="178" spans="1:14" ht="14" customHeight="1" thickBot="1" x14ac:dyDescent="0.2">
      <c r="A178" s="1384"/>
      <c r="E178" s="1380"/>
      <c r="F178" s="1382"/>
      <c r="G178" s="1382"/>
      <c r="H178" s="1382"/>
      <c r="I178" s="1041"/>
      <c r="L178" s="1371"/>
      <c r="M178" s="1373"/>
      <c r="N178" s="1371"/>
    </row>
    <row r="179" spans="1:14" ht="18" thickTop="1" thickBot="1" x14ac:dyDescent="0.35">
      <c r="A179" s="1384"/>
      <c r="B179" s="161" t="s">
        <v>2</v>
      </c>
      <c r="E179" s="1084"/>
      <c r="F179" s="1084"/>
      <c r="G179" s="314"/>
      <c r="L179" s="1117"/>
      <c r="M179" s="1118"/>
      <c r="N179" s="589"/>
    </row>
    <row r="180" spans="1:14" ht="19" thickTop="1" x14ac:dyDescent="0.3">
      <c r="A180" s="1384"/>
      <c r="B180" s="1082"/>
      <c r="C180" s="1082"/>
      <c r="D180" s="1042" t="str">
        <f t="shared" ref="D180:F193" si="28">D137</f>
        <v>Les Petite Gâteries</v>
      </c>
      <c r="E180" s="1087"/>
      <c r="F180" s="1087"/>
      <c r="G180" s="1043"/>
      <c r="H180" s="1082"/>
      <c r="I180" s="1082"/>
      <c r="J180" s="1082"/>
      <c r="K180" s="1082"/>
      <c r="L180" s="1088"/>
      <c r="M180" s="1089"/>
      <c r="N180" s="1119"/>
    </row>
    <row r="181" spans="1:14" ht="18" x14ac:dyDescent="0.3">
      <c r="A181" s="1384"/>
      <c r="B181" s="1082">
        <f t="shared" ref="B181:C192" si="29">B138</f>
        <v>1</v>
      </c>
      <c r="C181" s="1082">
        <f t="shared" si="29"/>
        <v>1</v>
      </c>
      <c r="D181" s="1082" t="str">
        <f t="shared" si="28"/>
        <v>Petite Gâterie 1</v>
      </c>
      <c r="E181" s="1091">
        <f t="shared" si="28"/>
        <v>1.21</v>
      </c>
      <c r="F181" s="1128">
        <f t="shared" si="28"/>
        <v>3.3</v>
      </c>
      <c r="G181" s="1044">
        <f t="shared" ref="G181:G193" si="30">E181/F181</f>
        <v>0.3666666666666667</v>
      </c>
      <c r="H181" s="1092">
        <f t="shared" ref="H181:H193" si="31">F181-E181</f>
        <v>2.09</v>
      </c>
      <c r="I181" s="1087"/>
      <c r="J181" s="1082"/>
      <c r="K181" s="1082"/>
      <c r="L181" s="1093"/>
      <c r="M181" s="1094"/>
      <c r="N181" s="1115"/>
    </row>
    <row r="182" spans="1:14" ht="18" x14ac:dyDescent="0.3">
      <c r="A182" s="1384"/>
      <c r="B182" s="1082">
        <f t="shared" si="29"/>
        <v>2</v>
      </c>
      <c r="C182" s="1082">
        <f t="shared" si="29"/>
        <v>2</v>
      </c>
      <c r="D182" s="1082" t="str">
        <f t="shared" si="28"/>
        <v>Petite Gâterie 2</v>
      </c>
      <c r="E182" s="1091">
        <f t="shared" si="28"/>
        <v>1.31</v>
      </c>
      <c r="F182" s="1128">
        <f t="shared" si="28"/>
        <v>3.8</v>
      </c>
      <c r="G182" s="1044">
        <f t="shared" si="30"/>
        <v>0.34473684210526317</v>
      </c>
      <c r="H182" s="1092">
        <f t="shared" si="31"/>
        <v>2.4899999999999998</v>
      </c>
      <c r="I182" s="1087"/>
      <c r="J182" s="1082"/>
      <c r="K182" s="1082"/>
      <c r="L182" s="1096"/>
      <c r="M182" s="1094"/>
      <c r="N182" s="1115"/>
    </row>
    <row r="183" spans="1:14" ht="18" x14ac:dyDescent="0.3">
      <c r="A183" s="1384"/>
      <c r="B183" s="1082">
        <f t="shared" si="29"/>
        <v>3</v>
      </c>
      <c r="C183" s="1082">
        <f t="shared" si="29"/>
        <v>3</v>
      </c>
      <c r="D183" s="1082" t="str">
        <f t="shared" si="28"/>
        <v>Petite Gâterie 3</v>
      </c>
      <c r="E183" s="1091">
        <f t="shared" si="28"/>
        <v>1.35</v>
      </c>
      <c r="F183" s="1128">
        <f t="shared" si="28"/>
        <v>4</v>
      </c>
      <c r="G183" s="1044">
        <f t="shared" si="30"/>
        <v>0.33750000000000002</v>
      </c>
      <c r="H183" s="1092">
        <f t="shared" si="31"/>
        <v>2.65</v>
      </c>
      <c r="I183" s="1087"/>
      <c r="J183" s="1082"/>
      <c r="K183" s="1082"/>
      <c r="L183" s="1096"/>
      <c r="M183" s="1094"/>
      <c r="N183" s="1115"/>
    </row>
    <row r="184" spans="1:14" ht="18" x14ac:dyDescent="0.3">
      <c r="A184" s="1384"/>
      <c r="B184" s="1082">
        <f t="shared" si="29"/>
        <v>4</v>
      </c>
      <c r="C184" s="1082">
        <f t="shared" si="29"/>
        <v>4</v>
      </c>
      <c r="D184" s="1082" t="str">
        <f t="shared" si="28"/>
        <v>Petite Gâterie 4</v>
      </c>
      <c r="E184" s="1091">
        <f t="shared" si="28"/>
        <v>1.4</v>
      </c>
      <c r="F184" s="1128">
        <f t="shared" si="28"/>
        <v>4.5</v>
      </c>
      <c r="G184" s="1044">
        <f t="shared" si="30"/>
        <v>0.31111111111111112</v>
      </c>
      <c r="H184" s="1092">
        <f t="shared" si="31"/>
        <v>3.1</v>
      </c>
      <c r="I184" s="1087"/>
      <c r="J184" s="1082"/>
      <c r="K184" s="1082"/>
      <c r="L184" s="1096"/>
      <c r="M184" s="1094"/>
      <c r="N184" s="1115"/>
    </row>
    <row r="185" spans="1:14" ht="18" x14ac:dyDescent="0.3">
      <c r="A185" s="1384"/>
      <c r="B185" s="1082">
        <f t="shared" si="29"/>
        <v>5</v>
      </c>
      <c r="C185" s="1082">
        <f t="shared" si="29"/>
        <v>5</v>
      </c>
      <c r="D185" s="1082" t="str">
        <f t="shared" si="28"/>
        <v>Petite Gâterie 5</v>
      </c>
      <c r="E185" s="1091">
        <f t="shared" si="28"/>
        <v>1.24</v>
      </c>
      <c r="F185" s="1128">
        <f t="shared" si="28"/>
        <v>4.5999999999999996</v>
      </c>
      <c r="G185" s="1044">
        <f t="shared" si="30"/>
        <v>0.26956521739130435</v>
      </c>
      <c r="H185" s="1092">
        <f t="shared" si="31"/>
        <v>3.3599999999999994</v>
      </c>
      <c r="I185" s="1087"/>
      <c r="J185" s="1082"/>
      <c r="K185" s="1082"/>
      <c r="L185" s="1096"/>
      <c r="M185" s="1094"/>
      <c r="N185" s="1115"/>
    </row>
    <row r="186" spans="1:14" ht="18" x14ac:dyDescent="0.3">
      <c r="A186" s="1384"/>
      <c r="B186" s="1082">
        <f t="shared" si="29"/>
        <v>6</v>
      </c>
      <c r="C186" s="1082">
        <f t="shared" si="29"/>
        <v>6</v>
      </c>
      <c r="D186" s="1082" t="str">
        <f t="shared" si="28"/>
        <v>Petite Gâterie 6</v>
      </c>
      <c r="E186" s="1091">
        <f t="shared" si="28"/>
        <v>1.39</v>
      </c>
      <c r="F186" s="1128">
        <f t="shared" si="28"/>
        <v>4.7</v>
      </c>
      <c r="G186" s="1044">
        <f t="shared" si="30"/>
        <v>0.29574468085106381</v>
      </c>
      <c r="H186" s="1092">
        <f t="shared" si="31"/>
        <v>3.3100000000000005</v>
      </c>
      <c r="I186" s="1087"/>
      <c r="J186" s="1082"/>
      <c r="K186" s="1082"/>
      <c r="L186" s="1096"/>
      <c r="M186" s="1094"/>
      <c r="N186" s="1115"/>
    </row>
    <row r="187" spans="1:14" ht="18" x14ac:dyDescent="0.3">
      <c r="A187" s="1384"/>
      <c r="B187" s="1082">
        <f t="shared" si="29"/>
        <v>7</v>
      </c>
      <c r="C187" s="1082">
        <f t="shared" si="29"/>
        <v>7</v>
      </c>
      <c r="D187" s="1082" t="str">
        <f t="shared" si="28"/>
        <v>Petite Gâterie 7</v>
      </c>
      <c r="E187" s="1091">
        <f t="shared" si="28"/>
        <v>1.51</v>
      </c>
      <c r="F187" s="1128">
        <f t="shared" si="28"/>
        <v>4.8</v>
      </c>
      <c r="G187" s="1044">
        <f t="shared" si="30"/>
        <v>0.31458333333333333</v>
      </c>
      <c r="H187" s="1092">
        <f t="shared" si="31"/>
        <v>3.29</v>
      </c>
      <c r="I187" s="1087"/>
      <c r="J187" s="1082"/>
      <c r="K187" s="1082"/>
      <c r="L187" s="1096"/>
      <c r="M187" s="1094"/>
      <c r="N187" s="1115"/>
    </row>
    <row r="188" spans="1:14" ht="18" x14ac:dyDescent="0.3">
      <c r="A188" s="1384"/>
      <c r="B188" s="1082">
        <f t="shared" si="29"/>
        <v>8</v>
      </c>
      <c r="C188" s="1082">
        <f t="shared" si="29"/>
        <v>8</v>
      </c>
      <c r="D188" s="1082" t="str">
        <f t="shared" si="28"/>
        <v>Petite Gâterie 8</v>
      </c>
      <c r="E188" s="1091">
        <f t="shared" si="28"/>
        <v>1.53</v>
      </c>
      <c r="F188" s="1128">
        <f t="shared" si="28"/>
        <v>4.9000000000000004</v>
      </c>
      <c r="G188" s="1044">
        <f t="shared" si="30"/>
        <v>0.31224489795918364</v>
      </c>
      <c r="H188" s="1092">
        <f t="shared" si="31"/>
        <v>3.37</v>
      </c>
      <c r="I188" s="1087"/>
      <c r="J188" s="1082"/>
      <c r="K188" s="1082"/>
      <c r="L188" s="1096"/>
      <c r="M188" s="1094"/>
      <c r="N188" s="1115"/>
    </row>
    <row r="189" spans="1:14" ht="18" x14ac:dyDescent="0.3">
      <c r="A189" s="1384"/>
      <c r="B189" s="1082">
        <f t="shared" si="29"/>
        <v>9</v>
      </c>
      <c r="C189" s="1082">
        <f t="shared" si="29"/>
        <v>9</v>
      </c>
      <c r="D189" s="1082" t="str">
        <f t="shared" si="28"/>
        <v>Petite Gâterie 9</v>
      </c>
      <c r="E189" s="1091">
        <f t="shared" si="28"/>
        <v>1.55</v>
      </c>
      <c r="F189" s="1128">
        <f t="shared" si="28"/>
        <v>5</v>
      </c>
      <c r="G189" s="1044">
        <f t="shared" si="30"/>
        <v>0.31</v>
      </c>
      <c r="H189" s="1092">
        <f t="shared" si="31"/>
        <v>3.45</v>
      </c>
      <c r="I189" s="1087"/>
      <c r="J189" s="1082"/>
      <c r="K189" s="1082"/>
      <c r="L189" s="1096"/>
      <c r="M189" s="1094"/>
      <c r="N189" s="1115"/>
    </row>
    <row r="190" spans="1:14" ht="18" x14ac:dyDescent="0.3">
      <c r="A190" s="1384"/>
      <c r="B190" s="1082">
        <f t="shared" si="29"/>
        <v>10</v>
      </c>
      <c r="C190" s="1082">
        <f t="shared" si="29"/>
        <v>10</v>
      </c>
      <c r="D190" s="1082" t="str">
        <f t="shared" si="28"/>
        <v>Petite Gâterie 10</v>
      </c>
      <c r="E190" s="1091">
        <f t="shared" si="28"/>
        <v>1.59</v>
      </c>
      <c r="F190" s="1128">
        <f t="shared" si="28"/>
        <v>5.2</v>
      </c>
      <c r="G190" s="1044">
        <f t="shared" si="30"/>
        <v>0.30576923076923079</v>
      </c>
      <c r="H190" s="1092">
        <f t="shared" si="31"/>
        <v>3.6100000000000003</v>
      </c>
      <c r="I190" s="1087"/>
      <c r="J190" s="1082"/>
      <c r="K190" s="1082"/>
      <c r="L190" s="1096"/>
      <c r="M190" s="1094"/>
      <c r="N190" s="1115"/>
    </row>
    <row r="191" spans="1:14" ht="18" x14ac:dyDescent="0.3">
      <c r="A191" s="1384"/>
      <c r="B191" s="1082">
        <f t="shared" si="29"/>
        <v>11</v>
      </c>
      <c r="C191" s="1082">
        <f t="shared" si="29"/>
        <v>11</v>
      </c>
      <c r="D191" s="1082" t="str">
        <f t="shared" si="28"/>
        <v>Petite Gâterie 11</v>
      </c>
      <c r="E191" s="1091">
        <f t="shared" si="28"/>
        <v>1.83</v>
      </c>
      <c r="F191" s="1128">
        <f t="shared" si="28"/>
        <v>6.4</v>
      </c>
      <c r="G191" s="1044">
        <f t="shared" si="30"/>
        <v>0.28593750000000001</v>
      </c>
      <c r="H191" s="1092">
        <f t="shared" si="31"/>
        <v>4.57</v>
      </c>
      <c r="I191" s="1087"/>
      <c r="J191" s="1082"/>
      <c r="K191" s="1082"/>
      <c r="L191" s="1096"/>
      <c r="M191" s="1094"/>
      <c r="N191" s="1115"/>
    </row>
    <row r="192" spans="1:14" ht="18" x14ac:dyDescent="0.3">
      <c r="A192" s="1384"/>
      <c r="B192" s="1082">
        <f t="shared" si="29"/>
        <v>12</v>
      </c>
      <c r="C192" s="1082">
        <f t="shared" si="29"/>
        <v>12</v>
      </c>
      <c r="D192" s="1082" t="str">
        <f t="shared" si="28"/>
        <v>Petite Gâterie 12</v>
      </c>
      <c r="E192" s="1091">
        <f t="shared" si="28"/>
        <v>1.87</v>
      </c>
      <c r="F192" s="1128">
        <f t="shared" si="28"/>
        <v>6.6</v>
      </c>
      <c r="G192" s="1044">
        <f t="shared" si="30"/>
        <v>0.28333333333333338</v>
      </c>
      <c r="H192" s="1092">
        <f t="shared" si="31"/>
        <v>4.7299999999999995</v>
      </c>
      <c r="I192" s="1087"/>
      <c r="J192" s="1082"/>
      <c r="K192" s="1082"/>
      <c r="L192" s="1096"/>
      <c r="M192" s="1094"/>
      <c r="N192" s="1115"/>
    </row>
    <row r="193" spans="1:14" ht="19" x14ac:dyDescent="0.35">
      <c r="A193" s="1384"/>
      <c r="B193" s="1082"/>
      <c r="C193" s="1082"/>
      <c r="D193" s="1042" t="str">
        <f t="shared" si="28"/>
        <v>CmO—PmO—Food Cost—BmO</v>
      </c>
      <c r="E193" s="1046">
        <f>SUM(E181:E192)/C192</f>
        <v>1.4816666666666667</v>
      </c>
      <c r="F193" s="1046">
        <f>SUM(F181:F192)/C192</f>
        <v>4.8166666666666673</v>
      </c>
      <c r="G193" s="1047">
        <f t="shared" si="30"/>
        <v>0.30761245674740478</v>
      </c>
      <c r="H193" s="1048">
        <f t="shared" si="31"/>
        <v>3.3350000000000009</v>
      </c>
      <c r="I193" s="1100"/>
      <c r="J193" s="1082"/>
      <c r="K193" s="1082"/>
      <c r="L193" s="1101">
        <f>'Formule pour le calcul D'!V42</f>
        <v>2.0499999999999998</v>
      </c>
      <c r="M193" s="1094"/>
      <c r="N193" s="1115">
        <f>+L193*M213</f>
        <v>9184</v>
      </c>
    </row>
    <row r="194" spans="1:14" ht="18" x14ac:dyDescent="0.3">
      <c r="A194" s="1384"/>
      <c r="B194" s="1082" t="s">
        <v>2</v>
      </c>
      <c r="C194" s="1082"/>
      <c r="D194" s="1082"/>
      <c r="E194" s="1091"/>
      <c r="F194" s="1091"/>
      <c r="G194" s="1044"/>
      <c r="H194" s="1049"/>
      <c r="I194" s="1082"/>
      <c r="J194" s="1082"/>
      <c r="K194" s="1082"/>
      <c r="L194" s="1096"/>
      <c r="M194" s="1094"/>
      <c r="N194" s="1115"/>
    </row>
    <row r="195" spans="1:14" ht="18" x14ac:dyDescent="0.3">
      <c r="A195" s="1384"/>
      <c r="B195" s="1082"/>
      <c r="C195" s="1082"/>
      <c r="D195" s="1042" t="str">
        <f t="shared" ref="D195:F208" si="32">D152</f>
        <v>Les Boissons  Gâteries</v>
      </c>
      <c r="E195" s="1091"/>
      <c r="F195" s="1091"/>
      <c r="G195" s="1044"/>
      <c r="H195" s="1049"/>
      <c r="I195" s="1082"/>
      <c r="J195" s="1082"/>
      <c r="K195" s="1082"/>
      <c r="L195" s="1096"/>
      <c r="M195" s="1094"/>
      <c r="N195" s="1115"/>
    </row>
    <row r="196" spans="1:14" ht="18" x14ac:dyDescent="0.3">
      <c r="A196" s="1384"/>
      <c r="B196" s="1082">
        <f t="shared" ref="B196:C207" si="33">B153</f>
        <v>13</v>
      </c>
      <c r="C196" s="1082">
        <f t="shared" si="33"/>
        <v>1</v>
      </c>
      <c r="D196" s="1082" t="str">
        <f t="shared" si="32"/>
        <v>Boisson spécial numéro 1</v>
      </c>
      <c r="E196" s="1091">
        <f t="shared" si="32"/>
        <v>2.2799999999999998</v>
      </c>
      <c r="F196" s="1128">
        <f t="shared" si="32"/>
        <v>6.6</v>
      </c>
      <c r="G196" s="1044">
        <f>E196/F196</f>
        <v>0.34545454545454546</v>
      </c>
      <c r="H196" s="1092">
        <f>F196-E196</f>
        <v>4.32</v>
      </c>
      <c r="I196" s="1087"/>
      <c r="J196" s="1082"/>
      <c r="K196" s="1082"/>
      <c r="L196" s="1096"/>
      <c r="M196" s="1094"/>
      <c r="N196" s="1115"/>
    </row>
    <row r="197" spans="1:14" ht="18" x14ac:dyDescent="0.3">
      <c r="A197" s="1384"/>
      <c r="B197" s="1082">
        <f t="shared" si="33"/>
        <v>14</v>
      </c>
      <c r="C197" s="1082">
        <f t="shared" si="33"/>
        <v>2</v>
      </c>
      <c r="D197" s="1082" t="str">
        <f t="shared" si="32"/>
        <v>Boisson spécial numéro 2</v>
      </c>
      <c r="E197" s="1091">
        <f t="shared" si="32"/>
        <v>2.66</v>
      </c>
      <c r="F197" s="1128">
        <f t="shared" si="32"/>
        <v>7.6</v>
      </c>
      <c r="G197" s="1044">
        <f>E197/F197</f>
        <v>0.35000000000000003</v>
      </c>
      <c r="H197" s="1092">
        <f>F197-E197</f>
        <v>4.9399999999999995</v>
      </c>
      <c r="I197" s="1087"/>
      <c r="J197" s="1082"/>
      <c r="K197" s="1082"/>
      <c r="L197" s="1096"/>
      <c r="M197" s="1094"/>
      <c r="N197" s="1115"/>
    </row>
    <row r="198" spans="1:14" ht="18" x14ac:dyDescent="0.3">
      <c r="A198" s="1384"/>
      <c r="B198" s="1082">
        <f t="shared" si="33"/>
        <v>15</v>
      </c>
      <c r="C198" s="1082">
        <f t="shared" si="33"/>
        <v>3</v>
      </c>
      <c r="D198" s="1082" t="str">
        <f t="shared" si="32"/>
        <v>Boisson spécial numéro 3</v>
      </c>
      <c r="E198" s="1091">
        <f t="shared" si="32"/>
        <v>2.74</v>
      </c>
      <c r="F198" s="1128">
        <f t="shared" si="32"/>
        <v>8</v>
      </c>
      <c r="G198" s="1044">
        <f>E198/F198</f>
        <v>0.34250000000000003</v>
      </c>
      <c r="H198" s="1092">
        <f>F198-E198</f>
        <v>5.26</v>
      </c>
      <c r="I198" s="1087"/>
      <c r="J198" s="1082"/>
      <c r="K198" s="1082"/>
      <c r="L198" s="1096"/>
      <c r="M198" s="1094"/>
      <c r="N198" s="1115"/>
    </row>
    <row r="199" spans="1:14" ht="18" x14ac:dyDescent="0.3">
      <c r="A199" s="1384"/>
      <c r="B199" s="1082">
        <f t="shared" si="33"/>
        <v>16</v>
      </c>
      <c r="C199" s="1082">
        <f t="shared" si="33"/>
        <v>4</v>
      </c>
      <c r="D199" s="1082" t="str">
        <f t="shared" si="32"/>
        <v>Boisson spécial numéro 4</v>
      </c>
      <c r="E199" s="1091">
        <f t="shared" si="32"/>
        <v>2.72</v>
      </c>
      <c r="F199" s="1128">
        <f t="shared" si="32"/>
        <v>9</v>
      </c>
      <c r="G199" s="1044">
        <f t="shared" ref="G199:G206" si="34">E199/F199</f>
        <v>0.30222222222222223</v>
      </c>
      <c r="H199" s="1092">
        <f t="shared" ref="H199:H206" si="35">F199-E199</f>
        <v>6.2799999999999994</v>
      </c>
      <c r="I199" s="1087"/>
      <c r="J199" s="1082"/>
      <c r="K199" s="1082"/>
      <c r="L199" s="1096"/>
      <c r="M199" s="1094"/>
      <c r="N199" s="1115"/>
    </row>
    <row r="200" spans="1:14" ht="18" x14ac:dyDescent="0.3">
      <c r="A200" s="1384"/>
      <c r="B200" s="1082">
        <f t="shared" si="33"/>
        <v>17</v>
      </c>
      <c r="C200" s="1082">
        <f t="shared" si="33"/>
        <v>5</v>
      </c>
      <c r="D200" s="1082" t="str">
        <f t="shared" si="32"/>
        <v>Boisson spécial numéro 5</v>
      </c>
      <c r="E200" s="1091">
        <f t="shared" si="32"/>
        <v>2.76</v>
      </c>
      <c r="F200" s="1128">
        <f t="shared" si="32"/>
        <v>9.1999999999999993</v>
      </c>
      <c r="G200" s="1044">
        <f t="shared" si="34"/>
        <v>0.3</v>
      </c>
      <c r="H200" s="1092">
        <f t="shared" si="35"/>
        <v>6.4399999999999995</v>
      </c>
      <c r="I200" s="1087"/>
      <c r="J200" s="1082"/>
      <c r="K200" s="1082"/>
      <c r="L200" s="1096"/>
      <c r="M200" s="1094"/>
      <c r="N200" s="1115"/>
    </row>
    <row r="201" spans="1:14" ht="18" x14ac:dyDescent="0.3">
      <c r="A201" s="1384"/>
      <c r="B201" s="1082">
        <f t="shared" si="33"/>
        <v>18</v>
      </c>
      <c r="C201" s="1082">
        <f t="shared" si="33"/>
        <v>6</v>
      </c>
      <c r="D201" s="1082" t="str">
        <f t="shared" si="32"/>
        <v>Boisson spécial numéro 6</v>
      </c>
      <c r="E201" s="1091">
        <f t="shared" si="32"/>
        <v>2.8</v>
      </c>
      <c r="F201" s="1128">
        <f t="shared" si="32"/>
        <v>9.4</v>
      </c>
      <c r="G201" s="1044">
        <f t="shared" si="34"/>
        <v>0.2978723404255319</v>
      </c>
      <c r="H201" s="1092">
        <f t="shared" si="35"/>
        <v>6.6000000000000005</v>
      </c>
      <c r="I201" s="1087"/>
      <c r="J201" s="1082"/>
      <c r="K201" s="1082"/>
      <c r="L201" s="1096"/>
      <c r="M201" s="1094"/>
      <c r="N201" s="1115"/>
    </row>
    <row r="202" spans="1:14" ht="18" x14ac:dyDescent="0.3">
      <c r="A202" s="1384"/>
      <c r="B202" s="1082">
        <f t="shared" si="33"/>
        <v>19</v>
      </c>
      <c r="C202" s="1082">
        <f t="shared" si="33"/>
        <v>7</v>
      </c>
      <c r="D202" s="1082" t="str">
        <f t="shared" si="32"/>
        <v>Boisson spécial numéro 7</v>
      </c>
      <c r="E202" s="1091">
        <f t="shared" si="32"/>
        <v>2.82</v>
      </c>
      <c r="F202" s="1128">
        <f t="shared" si="32"/>
        <v>9.6</v>
      </c>
      <c r="G202" s="1044">
        <f t="shared" si="34"/>
        <v>0.29375000000000001</v>
      </c>
      <c r="H202" s="1092">
        <f t="shared" si="35"/>
        <v>6.7799999999999994</v>
      </c>
      <c r="I202" s="1087"/>
      <c r="J202" s="1082"/>
      <c r="K202" s="1082"/>
      <c r="L202" s="1096"/>
      <c r="M202" s="1094"/>
      <c r="N202" s="1115"/>
    </row>
    <row r="203" spans="1:14" ht="18" x14ac:dyDescent="0.3">
      <c r="A203" s="1384"/>
      <c r="B203" s="1082">
        <f t="shared" si="33"/>
        <v>20</v>
      </c>
      <c r="C203" s="1082">
        <f t="shared" si="33"/>
        <v>8</v>
      </c>
      <c r="D203" s="1082" t="str">
        <f t="shared" si="32"/>
        <v>Boisson spécial numéro 8</v>
      </c>
      <c r="E203" s="1091">
        <f t="shared" si="32"/>
        <v>2.86</v>
      </c>
      <c r="F203" s="1128">
        <f t="shared" si="32"/>
        <v>9.8000000000000007</v>
      </c>
      <c r="G203" s="1044">
        <f t="shared" si="34"/>
        <v>0.2918367346938775</v>
      </c>
      <c r="H203" s="1092">
        <f t="shared" si="35"/>
        <v>6.9400000000000013</v>
      </c>
      <c r="I203" s="1087"/>
      <c r="J203" s="1082"/>
      <c r="K203" s="1082"/>
      <c r="L203" s="1096"/>
      <c r="M203" s="1094"/>
      <c r="N203" s="1115"/>
    </row>
    <row r="204" spans="1:14" ht="18" x14ac:dyDescent="0.3">
      <c r="A204" s="1384"/>
      <c r="B204" s="1082">
        <f t="shared" si="33"/>
        <v>21</v>
      </c>
      <c r="C204" s="1082">
        <f t="shared" si="33"/>
        <v>9</v>
      </c>
      <c r="D204" s="1082" t="str">
        <f t="shared" si="32"/>
        <v>Boisson spécial numéro 9</v>
      </c>
      <c r="E204" s="1091">
        <f t="shared" si="32"/>
        <v>2.9</v>
      </c>
      <c r="F204" s="1128">
        <f t="shared" si="32"/>
        <v>10</v>
      </c>
      <c r="G204" s="1044">
        <f t="shared" si="34"/>
        <v>0.28999999999999998</v>
      </c>
      <c r="H204" s="1092">
        <f t="shared" si="35"/>
        <v>7.1</v>
      </c>
      <c r="I204" s="1087"/>
      <c r="J204" s="1082"/>
      <c r="K204" s="1082"/>
      <c r="L204" s="1096"/>
      <c r="M204" s="1094"/>
      <c r="N204" s="1115"/>
    </row>
    <row r="205" spans="1:14" ht="18" x14ac:dyDescent="0.3">
      <c r="A205" s="1384"/>
      <c r="B205" s="1082">
        <f t="shared" si="33"/>
        <v>22</v>
      </c>
      <c r="C205" s="1082">
        <f t="shared" si="33"/>
        <v>10</v>
      </c>
      <c r="D205" s="1082" t="str">
        <f t="shared" si="32"/>
        <v>Boisson spécial numéro 10</v>
      </c>
      <c r="E205" s="1091">
        <f t="shared" si="32"/>
        <v>2.98</v>
      </c>
      <c r="F205" s="1128">
        <f t="shared" si="32"/>
        <v>10.4</v>
      </c>
      <c r="G205" s="1044">
        <f t="shared" si="34"/>
        <v>0.28653846153846152</v>
      </c>
      <c r="H205" s="1092">
        <f t="shared" si="35"/>
        <v>7.42</v>
      </c>
      <c r="I205" s="1087"/>
      <c r="J205" s="1082"/>
      <c r="K205" s="1082"/>
      <c r="L205" s="1096"/>
      <c r="M205" s="1094"/>
      <c r="N205" s="1115"/>
    </row>
    <row r="206" spans="1:14" ht="18" x14ac:dyDescent="0.3">
      <c r="A206" s="1384"/>
      <c r="B206" s="1082">
        <f t="shared" si="33"/>
        <v>23</v>
      </c>
      <c r="C206" s="1082">
        <f t="shared" si="33"/>
        <v>11</v>
      </c>
      <c r="D206" s="1082" t="str">
        <f t="shared" si="32"/>
        <v>Boisson spécial numéro 11</v>
      </c>
      <c r="E206" s="1091">
        <f t="shared" si="32"/>
        <v>3.18</v>
      </c>
      <c r="F206" s="1128">
        <f t="shared" si="32"/>
        <v>11.6</v>
      </c>
      <c r="G206" s="1044">
        <f t="shared" si="34"/>
        <v>0.27413793103448281</v>
      </c>
      <c r="H206" s="1092">
        <f t="shared" si="35"/>
        <v>8.42</v>
      </c>
      <c r="I206" s="1087"/>
      <c r="J206" s="1082"/>
      <c r="K206" s="1082"/>
      <c r="L206" s="1096"/>
      <c r="M206" s="1094"/>
      <c r="N206" s="1115"/>
    </row>
    <row r="207" spans="1:14" ht="18" x14ac:dyDescent="0.3">
      <c r="A207" s="1384"/>
      <c r="B207" s="1082">
        <f t="shared" si="33"/>
        <v>24</v>
      </c>
      <c r="C207" s="1082">
        <f t="shared" si="33"/>
        <v>12</v>
      </c>
      <c r="D207" s="1082" t="str">
        <f t="shared" si="32"/>
        <v>Boisson spécial numéro 12</v>
      </c>
      <c r="E207" s="1091">
        <f t="shared" si="32"/>
        <v>3.48</v>
      </c>
      <c r="F207" s="1128">
        <f t="shared" si="32"/>
        <v>13.2</v>
      </c>
      <c r="G207" s="1044">
        <f>E207/F207</f>
        <v>0.26363636363636367</v>
      </c>
      <c r="H207" s="1092">
        <f>F207-E207</f>
        <v>9.7199999999999989</v>
      </c>
      <c r="I207" s="1087"/>
      <c r="J207" s="1082"/>
      <c r="K207" s="1082"/>
      <c r="L207" s="1096"/>
      <c r="M207" s="1094"/>
      <c r="N207" s="1115"/>
    </row>
    <row r="208" spans="1:14" ht="19" x14ac:dyDescent="0.35">
      <c r="A208" s="1384"/>
      <c r="B208" s="1082"/>
      <c r="C208" s="1082"/>
      <c r="D208" s="1042" t="str">
        <f t="shared" si="32"/>
        <v>CmO—PmO—Beverage Cost—Marge brute</v>
      </c>
      <c r="E208" s="1046">
        <f>SUM(E196:E207)/C207</f>
        <v>2.8483333333333332</v>
      </c>
      <c r="F208" s="1046">
        <f>SUM(F196:F207)/C207</f>
        <v>9.5333333333333332</v>
      </c>
      <c r="G208" s="1050">
        <f>E208/F208</f>
        <v>0.29877622377622376</v>
      </c>
      <c r="H208" s="1048">
        <f>F208-E208</f>
        <v>6.6850000000000005</v>
      </c>
      <c r="I208" s="1100"/>
      <c r="J208" s="1082"/>
      <c r="K208" s="1082"/>
      <c r="L208" s="1096">
        <f>'Formule pour le calcul D'!AH42</f>
        <v>1.05</v>
      </c>
      <c r="M208" s="1094"/>
      <c r="N208" s="1115">
        <f>+L208*M213</f>
        <v>4704</v>
      </c>
    </row>
    <row r="209" spans="1:14" ht="19" thickBot="1" x14ac:dyDescent="0.35">
      <c r="A209" s="1384"/>
      <c r="B209" s="1082"/>
      <c r="C209" s="1082"/>
      <c r="D209" s="1082"/>
      <c r="E209" s="1091"/>
      <c r="F209" s="1091"/>
      <c r="G209" s="1043"/>
      <c r="H209" s="1049"/>
      <c r="I209" s="1082"/>
      <c r="J209" s="1082"/>
      <c r="K209" s="1082"/>
      <c r="L209" s="1096"/>
      <c r="M209" s="1094"/>
      <c r="N209" s="1115"/>
    </row>
    <row r="210" spans="1:14" ht="21" thickTop="1" thickBot="1" x14ac:dyDescent="0.4">
      <c r="A210" s="1384"/>
      <c r="B210" s="1082"/>
      <c r="C210" s="1051"/>
      <c r="D210" s="1052"/>
      <c r="E210" s="1102"/>
      <c r="F210" s="1102"/>
      <c r="G210" s="1053"/>
      <c r="H210" s="1102"/>
      <c r="I210" s="1104"/>
      <c r="J210" s="1082"/>
      <c r="K210" s="1082"/>
      <c r="L210" s="1096"/>
      <c r="M210" s="1094"/>
      <c r="N210" s="1115"/>
    </row>
    <row r="211" spans="1:14" ht="20" thickTop="1" thickBot="1" x14ac:dyDescent="0.35">
      <c r="A211" s="1384"/>
      <c r="B211" s="1082"/>
      <c r="C211" s="1055"/>
      <c r="D211" s="1042"/>
      <c r="E211" s="1105" t="str">
        <f>E168</f>
        <v>CmO</v>
      </c>
      <c r="F211" s="1105" t="str">
        <f>F168</f>
        <v>PmO</v>
      </c>
      <c r="G211" s="1056" t="str">
        <f>G168</f>
        <v>F&amp;BCmO</v>
      </c>
      <c r="H211" s="1106" t="str">
        <f>H168</f>
        <v>BmO</v>
      </c>
      <c r="I211" s="1107"/>
      <c r="J211" s="1082"/>
      <c r="K211" s="1082"/>
      <c r="L211" s="1096"/>
      <c r="M211" s="1094"/>
      <c r="N211" s="1115"/>
    </row>
    <row r="212" spans="1:14" ht="19" thickTop="1" x14ac:dyDescent="0.3">
      <c r="A212" s="1384"/>
      <c r="B212" s="1082"/>
      <c r="C212" s="1055"/>
      <c r="D212" s="1057" t="str">
        <f>D169</f>
        <v>OFFRE TOTALE AVEC LES GÂTERIES ET LES CAFÉS GÂTERIES</v>
      </c>
      <c r="E212" s="1091"/>
      <c r="F212" s="1091"/>
      <c r="G212" s="1043"/>
      <c r="H212" s="1049"/>
      <c r="I212" s="1058"/>
      <c r="J212" s="1082"/>
      <c r="K212" s="1082"/>
      <c r="L212" s="1096"/>
      <c r="M212" s="1094"/>
      <c r="N212" s="1115"/>
    </row>
    <row r="213" spans="1:14" ht="19" x14ac:dyDescent="0.35">
      <c r="A213" s="1384"/>
      <c r="B213" s="1082"/>
      <c r="C213" s="1055"/>
      <c r="D213" s="1042" t="str">
        <f>D170</f>
        <v>CmO—PmO—F&amp;B cost moyen offert—Marge brute</v>
      </c>
      <c r="E213" s="1059">
        <f>+(E181+E182+E183+E184+E185+E186+E187+E188+E189+E190+E191+E192+E196+E197+E198+E199+E200+E201+E202+E203+E204+E205+E206+E207)/B207</f>
        <v>2.1649999999999996</v>
      </c>
      <c r="F213" s="1059">
        <f>+(F181+F182+F183+F184+F185+F186+F187+F188+F189+F190+F191+F192+F196+F197+F198+F199+F200+F201+F202+F203+F204+F205+F206+F207)/B207</f>
        <v>7.1749999999999998</v>
      </c>
      <c r="G213" s="1060">
        <f>E213/F213</f>
        <v>0.30174216027874562</v>
      </c>
      <c r="H213" s="1061">
        <f>F213-E213</f>
        <v>5.01</v>
      </c>
      <c r="I213" s="1108"/>
      <c r="J213" s="1082"/>
      <c r="K213" s="1082"/>
      <c r="L213" s="1096">
        <f>L170</f>
        <v>3</v>
      </c>
      <c r="M213" s="1121">
        <f>'% Occupation'!H19</f>
        <v>4480</v>
      </c>
      <c r="N213" s="1115">
        <f>+N193+N208</f>
        <v>13888</v>
      </c>
    </row>
    <row r="214" spans="1:14" ht="18" x14ac:dyDescent="0.3">
      <c r="A214" s="1384"/>
      <c r="B214" s="1082"/>
      <c r="C214" s="1055"/>
      <c r="D214" s="1082"/>
      <c r="E214" s="1109"/>
      <c r="F214" s="1109"/>
      <c r="G214" s="1045"/>
      <c r="H214" s="1062"/>
      <c r="I214" s="1063"/>
      <c r="J214" s="1082"/>
      <c r="K214" s="1082"/>
      <c r="L214" s="1096"/>
      <c r="M214" s="1094"/>
      <c r="N214" s="1115"/>
    </row>
    <row r="215" spans="1:14" ht="19" thickBot="1" x14ac:dyDescent="0.35">
      <c r="A215" s="1384"/>
      <c r="B215" s="1082"/>
      <c r="C215" s="1072"/>
      <c r="D215" s="1073"/>
      <c r="E215" s="1110"/>
      <c r="F215" s="1110"/>
      <c r="G215" s="1074"/>
      <c r="H215" s="1075"/>
      <c r="I215" s="1076"/>
      <c r="J215" s="1082"/>
      <c r="K215" s="1082"/>
      <c r="L215" s="1111"/>
      <c r="M215" s="1112"/>
      <c r="N215" s="1116"/>
    </row>
    <row r="216" spans="1:14" ht="17" thickTop="1" x14ac:dyDescent="0.3">
      <c r="A216" s="1384"/>
      <c r="L216" s="1117"/>
      <c r="M216" s="1118"/>
      <c r="N216" s="589"/>
    </row>
    <row r="217" spans="1:14" ht="23" x14ac:dyDescent="0.3">
      <c r="A217" s="1384"/>
      <c r="D217" s="1038" t="s">
        <v>555</v>
      </c>
      <c r="F217" s="1084"/>
      <c r="L217" s="1117"/>
      <c r="M217" s="1118"/>
      <c r="N217" s="589"/>
    </row>
    <row r="218" spans="1:14" ht="24" thickBot="1" x14ac:dyDescent="0.35">
      <c r="A218" s="1384"/>
      <c r="D218" s="1039"/>
      <c r="L218" s="1117"/>
      <c r="M218" s="1118"/>
      <c r="N218" s="589"/>
    </row>
    <row r="219" spans="1:14" ht="23" customHeight="1" thickTop="1" x14ac:dyDescent="0.25">
      <c r="A219" s="1384"/>
      <c r="D219" s="1039"/>
      <c r="E219" s="1378" t="str">
        <f>E176</f>
        <v>Coûts des ressources alimentaires pour chaque produit offert (voir recettes standardisées)</v>
      </c>
      <c r="F219" s="1378" t="str">
        <f>F176</f>
        <v>Prix de vente par produit offert</v>
      </c>
      <c r="G219" s="1378" t="str">
        <f>G176</f>
        <v xml:space="preserve">« Food &amp; Beverage Cost » </v>
      </c>
      <c r="H219" s="1378" t="str">
        <f>H176</f>
        <v>Marge brute gagnée sur la vente de chaque produit offert</v>
      </c>
      <c r="I219" s="1040"/>
      <c r="L219" s="1369" t="s">
        <v>592</v>
      </c>
      <c r="M219" s="1369" t="s">
        <v>593</v>
      </c>
      <c r="N219" s="1369" t="s">
        <v>594</v>
      </c>
    </row>
    <row r="220" spans="1:14" ht="22" x14ac:dyDescent="0.25">
      <c r="A220" s="1384"/>
      <c r="D220" s="1039"/>
      <c r="E220" s="1379"/>
      <c r="F220" s="1381"/>
      <c r="G220" s="1381"/>
      <c r="H220" s="1381"/>
      <c r="I220" s="1041"/>
      <c r="L220" s="1370"/>
      <c r="M220" s="1372"/>
      <c r="N220" s="1370"/>
    </row>
    <row r="221" spans="1:14" ht="14" customHeight="1" thickBot="1" x14ac:dyDescent="0.2">
      <c r="A221" s="1384"/>
      <c r="E221" s="1380"/>
      <c r="F221" s="1382"/>
      <c r="G221" s="1382"/>
      <c r="H221" s="1382"/>
      <c r="I221" s="1041"/>
      <c r="L221" s="1371"/>
      <c r="M221" s="1373"/>
      <c r="N221" s="1371"/>
    </row>
    <row r="222" spans="1:14" ht="18" thickTop="1" thickBot="1" x14ac:dyDescent="0.35">
      <c r="A222" s="1384"/>
      <c r="B222" s="161" t="s">
        <v>2</v>
      </c>
      <c r="E222" s="1084"/>
      <c r="F222" s="1084"/>
      <c r="G222" s="314"/>
      <c r="L222" s="1117"/>
      <c r="M222" s="1118"/>
      <c r="N222" s="589"/>
    </row>
    <row r="223" spans="1:14" ht="19" thickTop="1" x14ac:dyDescent="0.3">
      <c r="A223" s="1384"/>
      <c r="B223" s="1082"/>
      <c r="C223" s="1082"/>
      <c r="D223" s="1042" t="str">
        <f t="shared" ref="D223:F236" si="36">D180</f>
        <v>Les Petite Gâteries</v>
      </c>
      <c r="E223" s="1087"/>
      <c r="F223" s="1087"/>
      <c r="G223" s="1043"/>
      <c r="H223" s="1082"/>
      <c r="I223" s="1082"/>
      <c r="J223" s="1082"/>
      <c r="K223" s="1082"/>
      <c r="L223" s="1088"/>
      <c r="M223" s="1089"/>
      <c r="N223" s="1119"/>
    </row>
    <row r="224" spans="1:14" ht="18" x14ac:dyDescent="0.3">
      <c r="A224" s="1384"/>
      <c r="B224" s="1082">
        <f t="shared" ref="B224:C235" si="37">B181</f>
        <v>1</v>
      </c>
      <c r="C224" s="1082">
        <f t="shared" si="37"/>
        <v>1</v>
      </c>
      <c r="D224" s="1082" t="str">
        <f t="shared" si="36"/>
        <v>Petite Gâterie 1</v>
      </c>
      <c r="E224" s="1091">
        <f t="shared" si="36"/>
        <v>1.21</v>
      </c>
      <c r="F224" s="1128">
        <f t="shared" si="36"/>
        <v>3.3</v>
      </c>
      <c r="G224" s="1044">
        <f t="shared" ref="G224:G236" si="38">E224/F224</f>
        <v>0.3666666666666667</v>
      </c>
      <c r="H224" s="1092">
        <f t="shared" ref="H224:H236" si="39">F224-E224</f>
        <v>2.09</v>
      </c>
      <c r="I224" s="1087"/>
      <c r="J224" s="1082"/>
      <c r="K224" s="1082"/>
      <c r="L224" s="1093"/>
      <c r="M224" s="1094"/>
      <c r="N224" s="1115"/>
    </row>
    <row r="225" spans="1:14" ht="18" x14ac:dyDescent="0.3">
      <c r="A225" s="1384"/>
      <c r="B225" s="1082">
        <f t="shared" si="37"/>
        <v>2</v>
      </c>
      <c r="C225" s="1082">
        <f t="shared" si="37"/>
        <v>2</v>
      </c>
      <c r="D225" s="1082" t="str">
        <f t="shared" si="36"/>
        <v>Petite Gâterie 2</v>
      </c>
      <c r="E225" s="1091">
        <f t="shared" si="36"/>
        <v>1.31</v>
      </c>
      <c r="F225" s="1128">
        <f t="shared" si="36"/>
        <v>3.8</v>
      </c>
      <c r="G225" s="1044">
        <f t="shared" si="38"/>
        <v>0.34473684210526317</v>
      </c>
      <c r="H225" s="1092">
        <f t="shared" si="39"/>
        <v>2.4899999999999998</v>
      </c>
      <c r="I225" s="1087"/>
      <c r="J225" s="1082"/>
      <c r="K225" s="1082"/>
      <c r="L225" s="1096"/>
      <c r="M225" s="1094"/>
      <c r="N225" s="1115"/>
    </row>
    <row r="226" spans="1:14" ht="18" x14ac:dyDescent="0.3">
      <c r="A226" s="1384"/>
      <c r="B226" s="1082">
        <f t="shared" si="37"/>
        <v>3</v>
      </c>
      <c r="C226" s="1082">
        <f t="shared" si="37"/>
        <v>3</v>
      </c>
      <c r="D226" s="1082" t="str">
        <f t="shared" si="36"/>
        <v>Petite Gâterie 3</v>
      </c>
      <c r="E226" s="1091">
        <f t="shared" si="36"/>
        <v>1.35</v>
      </c>
      <c r="F226" s="1128">
        <f t="shared" si="36"/>
        <v>4</v>
      </c>
      <c r="G226" s="1044">
        <f t="shared" si="38"/>
        <v>0.33750000000000002</v>
      </c>
      <c r="H226" s="1092">
        <f t="shared" si="39"/>
        <v>2.65</v>
      </c>
      <c r="I226" s="1087"/>
      <c r="J226" s="1082"/>
      <c r="K226" s="1082"/>
      <c r="L226" s="1096"/>
      <c r="M226" s="1094"/>
      <c r="N226" s="1115"/>
    </row>
    <row r="227" spans="1:14" ht="18" x14ac:dyDescent="0.3">
      <c r="A227" s="1384"/>
      <c r="B227" s="1082">
        <f t="shared" si="37"/>
        <v>4</v>
      </c>
      <c r="C227" s="1082">
        <f t="shared" si="37"/>
        <v>4</v>
      </c>
      <c r="D227" s="1082" t="str">
        <f t="shared" si="36"/>
        <v>Petite Gâterie 4</v>
      </c>
      <c r="E227" s="1091">
        <f t="shared" si="36"/>
        <v>1.4</v>
      </c>
      <c r="F227" s="1128">
        <f t="shared" si="36"/>
        <v>4.5</v>
      </c>
      <c r="G227" s="1044">
        <f t="shared" si="38"/>
        <v>0.31111111111111112</v>
      </c>
      <c r="H227" s="1092">
        <f t="shared" si="39"/>
        <v>3.1</v>
      </c>
      <c r="I227" s="1087"/>
      <c r="J227" s="1082"/>
      <c r="K227" s="1082"/>
      <c r="L227" s="1096"/>
      <c r="M227" s="1094"/>
      <c r="N227" s="1115"/>
    </row>
    <row r="228" spans="1:14" ht="18" x14ac:dyDescent="0.3">
      <c r="A228" s="1384"/>
      <c r="B228" s="1082">
        <f t="shared" si="37"/>
        <v>5</v>
      </c>
      <c r="C228" s="1082">
        <f t="shared" si="37"/>
        <v>5</v>
      </c>
      <c r="D228" s="1082" t="str">
        <f t="shared" si="36"/>
        <v>Petite Gâterie 5</v>
      </c>
      <c r="E228" s="1091">
        <f t="shared" si="36"/>
        <v>1.24</v>
      </c>
      <c r="F228" s="1128">
        <f t="shared" si="36"/>
        <v>4.5999999999999996</v>
      </c>
      <c r="G228" s="1044">
        <f t="shared" si="38"/>
        <v>0.26956521739130435</v>
      </c>
      <c r="H228" s="1092">
        <f t="shared" si="39"/>
        <v>3.3599999999999994</v>
      </c>
      <c r="I228" s="1087"/>
      <c r="J228" s="1082"/>
      <c r="K228" s="1082"/>
      <c r="L228" s="1096"/>
      <c r="M228" s="1094"/>
      <c r="N228" s="1115"/>
    </row>
    <row r="229" spans="1:14" ht="18" x14ac:dyDescent="0.3">
      <c r="A229" s="1384"/>
      <c r="B229" s="1082">
        <f t="shared" si="37"/>
        <v>6</v>
      </c>
      <c r="C229" s="1082">
        <f t="shared" si="37"/>
        <v>6</v>
      </c>
      <c r="D229" s="1082" t="str">
        <f t="shared" si="36"/>
        <v>Petite Gâterie 6</v>
      </c>
      <c r="E229" s="1091">
        <f t="shared" si="36"/>
        <v>1.39</v>
      </c>
      <c r="F229" s="1128">
        <f t="shared" si="36"/>
        <v>4.7</v>
      </c>
      <c r="G229" s="1044">
        <f t="shared" si="38"/>
        <v>0.29574468085106381</v>
      </c>
      <c r="H229" s="1092">
        <f t="shared" si="39"/>
        <v>3.3100000000000005</v>
      </c>
      <c r="I229" s="1087"/>
      <c r="J229" s="1082"/>
      <c r="K229" s="1082"/>
      <c r="L229" s="1096"/>
      <c r="M229" s="1094"/>
      <c r="N229" s="1115"/>
    </row>
    <row r="230" spans="1:14" ht="18" x14ac:dyDescent="0.3">
      <c r="A230" s="1384"/>
      <c r="B230" s="1082">
        <f t="shared" si="37"/>
        <v>7</v>
      </c>
      <c r="C230" s="1082">
        <f t="shared" si="37"/>
        <v>7</v>
      </c>
      <c r="D230" s="1082" t="str">
        <f t="shared" si="36"/>
        <v>Petite Gâterie 7</v>
      </c>
      <c r="E230" s="1091">
        <f t="shared" si="36"/>
        <v>1.51</v>
      </c>
      <c r="F230" s="1128">
        <f t="shared" si="36"/>
        <v>4.8</v>
      </c>
      <c r="G230" s="1044">
        <f t="shared" si="38"/>
        <v>0.31458333333333333</v>
      </c>
      <c r="H230" s="1092">
        <f t="shared" si="39"/>
        <v>3.29</v>
      </c>
      <c r="I230" s="1087"/>
      <c r="J230" s="1082"/>
      <c r="K230" s="1082"/>
      <c r="L230" s="1096"/>
      <c r="M230" s="1094"/>
      <c r="N230" s="1115"/>
    </row>
    <row r="231" spans="1:14" ht="18" x14ac:dyDescent="0.3">
      <c r="A231" s="1384"/>
      <c r="B231" s="1082">
        <f t="shared" si="37"/>
        <v>8</v>
      </c>
      <c r="C231" s="1082">
        <f t="shared" si="37"/>
        <v>8</v>
      </c>
      <c r="D231" s="1082" t="str">
        <f t="shared" si="36"/>
        <v>Petite Gâterie 8</v>
      </c>
      <c r="E231" s="1091">
        <f t="shared" si="36"/>
        <v>1.53</v>
      </c>
      <c r="F231" s="1128">
        <f t="shared" si="36"/>
        <v>4.9000000000000004</v>
      </c>
      <c r="G231" s="1044">
        <f t="shared" si="38"/>
        <v>0.31224489795918364</v>
      </c>
      <c r="H231" s="1092">
        <f t="shared" si="39"/>
        <v>3.37</v>
      </c>
      <c r="I231" s="1087"/>
      <c r="J231" s="1082"/>
      <c r="K231" s="1082"/>
      <c r="L231" s="1096"/>
      <c r="M231" s="1094"/>
      <c r="N231" s="1115"/>
    </row>
    <row r="232" spans="1:14" ht="18" x14ac:dyDescent="0.3">
      <c r="A232" s="1384"/>
      <c r="B232" s="1082">
        <f t="shared" si="37"/>
        <v>9</v>
      </c>
      <c r="C232" s="1082">
        <f t="shared" si="37"/>
        <v>9</v>
      </c>
      <c r="D232" s="1082" t="str">
        <f t="shared" si="36"/>
        <v>Petite Gâterie 9</v>
      </c>
      <c r="E232" s="1091">
        <f t="shared" si="36"/>
        <v>1.55</v>
      </c>
      <c r="F232" s="1128">
        <f t="shared" si="36"/>
        <v>5</v>
      </c>
      <c r="G232" s="1044">
        <f t="shared" si="38"/>
        <v>0.31</v>
      </c>
      <c r="H232" s="1092">
        <f t="shared" si="39"/>
        <v>3.45</v>
      </c>
      <c r="I232" s="1087"/>
      <c r="J232" s="1082"/>
      <c r="K232" s="1082"/>
      <c r="L232" s="1096"/>
      <c r="M232" s="1094"/>
      <c r="N232" s="1115"/>
    </row>
    <row r="233" spans="1:14" ht="18" x14ac:dyDescent="0.3">
      <c r="A233" s="1384"/>
      <c r="B233" s="1082">
        <f t="shared" si="37"/>
        <v>10</v>
      </c>
      <c r="C233" s="1082">
        <f t="shared" si="37"/>
        <v>10</v>
      </c>
      <c r="D233" s="1082" t="str">
        <f t="shared" si="36"/>
        <v>Petite Gâterie 10</v>
      </c>
      <c r="E233" s="1091">
        <f t="shared" si="36"/>
        <v>1.59</v>
      </c>
      <c r="F233" s="1128">
        <f t="shared" si="36"/>
        <v>5.2</v>
      </c>
      <c r="G233" s="1044">
        <f t="shared" si="38"/>
        <v>0.30576923076923079</v>
      </c>
      <c r="H233" s="1092">
        <f t="shared" si="39"/>
        <v>3.6100000000000003</v>
      </c>
      <c r="I233" s="1087"/>
      <c r="J233" s="1082"/>
      <c r="K233" s="1082"/>
      <c r="L233" s="1096"/>
      <c r="M233" s="1094"/>
      <c r="N233" s="1115"/>
    </row>
    <row r="234" spans="1:14" ht="18" x14ac:dyDescent="0.3">
      <c r="A234" s="1384"/>
      <c r="B234" s="1082">
        <f t="shared" si="37"/>
        <v>11</v>
      </c>
      <c r="C234" s="1082">
        <f t="shared" si="37"/>
        <v>11</v>
      </c>
      <c r="D234" s="1082" t="str">
        <f t="shared" si="36"/>
        <v>Petite Gâterie 11</v>
      </c>
      <c r="E234" s="1091">
        <f t="shared" si="36"/>
        <v>1.83</v>
      </c>
      <c r="F234" s="1128">
        <f t="shared" si="36"/>
        <v>6.4</v>
      </c>
      <c r="G234" s="1044">
        <f t="shared" si="38"/>
        <v>0.28593750000000001</v>
      </c>
      <c r="H234" s="1092">
        <f t="shared" si="39"/>
        <v>4.57</v>
      </c>
      <c r="I234" s="1087"/>
      <c r="J234" s="1082"/>
      <c r="K234" s="1082"/>
      <c r="L234" s="1096"/>
      <c r="M234" s="1094"/>
      <c r="N234" s="1115"/>
    </row>
    <row r="235" spans="1:14" ht="18" x14ac:dyDescent="0.3">
      <c r="A235" s="1384"/>
      <c r="B235" s="1082">
        <f t="shared" si="37"/>
        <v>12</v>
      </c>
      <c r="C235" s="1082">
        <f t="shared" si="37"/>
        <v>12</v>
      </c>
      <c r="D235" s="1082" t="str">
        <f t="shared" si="36"/>
        <v>Petite Gâterie 12</v>
      </c>
      <c r="E235" s="1091">
        <f t="shared" si="36"/>
        <v>1.87</v>
      </c>
      <c r="F235" s="1128">
        <f t="shared" si="36"/>
        <v>6.6</v>
      </c>
      <c r="G235" s="1044">
        <f t="shared" si="38"/>
        <v>0.28333333333333338</v>
      </c>
      <c r="H235" s="1092">
        <f t="shared" si="39"/>
        <v>4.7299999999999995</v>
      </c>
      <c r="I235" s="1087"/>
      <c r="J235" s="1082"/>
      <c r="K235" s="1082"/>
      <c r="L235" s="1096"/>
      <c r="M235" s="1094"/>
      <c r="N235" s="1115"/>
    </row>
    <row r="236" spans="1:14" ht="19" x14ac:dyDescent="0.35">
      <c r="A236" s="1384"/>
      <c r="B236" s="1082"/>
      <c r="C236" s="1082"/>
      <c r="D236" s="1042" t="str">
        <f t="shared" si="36"/>
        <v>CmO—PmO—Food Cost—BmO</v>
      </c>
      <c r="E236" s="1046">
        <f>SUM(E224:E235)/C235</f>
        <v>1.4816666666666667</v>
      </c>
      <c r="F236" s="1046">
        <f>SUM(F224:F235)/C235</f>
        <v>4.8166666666666673</v>
      </c>
      <c r="G236" s="1047">
        <f t="shared" si="38"/>
        <v>0.30761245674740478</v>
      </c>
      <c r="H236" s="1048">
        <f t="shared" si="39"/>
        <v>3.3350000000000009</v>
      </c>
      <c r="I236" s="1100"/>
      <c r="J236" s="1082"/>
      <c r="K236" s="1082"/>
      <c r="L236" s="1101">
        <f>'Formule pour le calcul D'!V50</f>
        <v>2.0499999999999998</v>
      </c>
      <c r="M236" s="1094"/>
      <c r="N236" s="1115">
        <f>+L236*M256</f>
        <v>9438.1999999999989</v>
      </c>
    </row>
    <row r="237" spans="1:14" ht="18" x14ac:dyDescent="0.3">
      <c r="A237" s="1384"/>
      <c r="B237" s="1082" t="s">
        <v>2</v>
      </c>
      <c r="C237" s="1082"/>
      <c r="D237" s="1082"/>
      <c r="E237" s="1091"/>
      <c r="F237" s="1091"/>
      <c r="G237" s="1044"/>
      <c r="H237" s="1049"/>
      <c r="I237" s="1082"/>
      <c r="J237" s="1082"/>
      <c r="K237" s="1082"/>
      <c r="L237" s="1096"/>
      <c r="M237" s="1094"/>
      <c r="N237" s="1115"/>
    </row>
    <row r="238" spans="1:14" ht="18" x14ac:dyDescent="0.3">
      <c r="A238" s="1384"/>
      <c r="B238" s="1082"/>
      <c r="C238" s="1082"/>
      <c r="D238" s="1042" t="str">
        <f t="shared" ref="D238:F251" si="40">D195</f>
        <v>Les Boissons  Gâteries</v>
      </c>
      <c r="E238" s="1091"/>
      <c r="F238" s="1091"/>
      <c r="G238" s="1044"/>
      <c r="H238" s="1049"/>
      <c r="I238" s="1082"/>
      <c r="J238" s="1082"/>
      <c r="K238" s="1082"/>
      <c r="L238" s="1096"/>
      <c r="M238" s="1094"/>
      <c r="N238" s="1115"/>
    </row>
    <row r="239" spans="1:14" ht="18" x14ac:dyDescent="0.3">
      <c r="A239" s="1384"/>
      <c r="B239" s="1082">
        <f t="shared" ref="B239:C250" si="41">B196</f>
        <v>13</v>
      </c>
      <c r="C239" s="1082">
        <f t="shared" si="41"/>
        <v>1</v>
      </c>
      <c r="D239" s="1082" t="str">
        <f t="shared" si="40"/>
        <v>Boisson spécial numéro 1</v>
      </c>
      <c r="E239" s="1091">
        <f t="shared" si="40"/>
        <v>2.2799999999999998</v>
      </c>
      <c r="F239" s="1128">
        <f t="shared" si="40"/>
        <v>6.6</v>
      </c>
      <c r="G239" s="1044">
        <f>E239/F239</f>
        <v>0.34545454545454546</v>
      </c>
      <c r="H239" s="1092">
        <f>F239-E239</f>
        <v>4.32</v>
      </c>
      <c r="I239" s="1087"/>
      <c r="J239" s="1082"/>
      <c r="K239" s="1082"/>
      <c r="L239" s="1096"/>
      <c r="M239" s="1094"/>
      <c r="N239" s="1115"/>
    </row>
    <row r="240" spans="1:14" ht="18" x14ac:dyDescent="0.3">
      <c r="A240" s="1384"/>
      <c r="B240" s="1082">
        <f t="shared" si="41"/>
        <v>14</v>
      </c>
      <c r="C240" s="1082">
        <f t="shared" si="41"/>
        <v>2</v>
      </c>
      <c r="D240" s="1082" t="str">
        <f t="shared" si="40"/>
        <v>Boisson spécial numéro 2</v>
      </c>
      <c r="E240" s="1091">
        <f t="shared" si="40"/>
        <v>2.66</v>
      </c>
      <c r="F240" s="1128">
        <f t="shared" si="40"/>
        <v>7.6</v>
      </c>
      <c r="G240" s="1044">
        <f>E240/F240</f>
        <v>0.35000000000000003</v>
      </c>
      <c r="H240" s="1092">
        <f>F240-E240</f>
        <v>4.9399999999999995</v>
      </c>
      <c r="I240" s="1087"/>
      <c r="J240" s="1082"/>
      <c r="K240" s="1082"/>
      <c r="L240" s="1096"/>
      <c r="M240" s="1094"/>
      <c r="N240" s="1115"/>
    </row>
    <row r="241" spans="1:14" ht="18" x14ac:dyDescent="0.3">
      <c r="A241" s="1384"/>
      <c r="B241" s="1082">
        <f t="shared" si="41"/>
        <v>15</v>
      </c>
      <c r="C241" s="1082">
        <f t="shared" si="41"/>
        <v>3</v>
      </c>
      <c r="D241" s="1082" t="str">
        <f t="shared" si="40"/>
        <v>Boisson spécial numéro 3</v>
      </c>
      <c r="E241" s="1091">
        <f t="shared" si="40"/>
        <v>2.74</v>
      </c>
      <c r="F241" s="1128">
        <f t="shared" si="40"/>
        <v>8</v>
      </c>
      <c r="G241" s="1044">
        <f>E241/F241</f>
        <v>0.34250000000000003</v>
      </c>
      <c r="H241" s="1092">
        <f>F241-E241</f>
        <v>5.26</v>
      </c>
      <c r="I241" s="1087"/>
      <c r="J241" s="1082"/>
      <c r="K241" s="1082"/>
      <c r="L241" s="1096"/>
      <c r="M241" s="1094"/>
      <c r="N241" s="1115"/>
    </row>
    <row r="242" spans="1:14" ht="18" x14ac:dyDescent="0.3">
      <c r="A242" s="1384"/>
      <c r="B242" s="1082">
        <f t="shared" si="41"/>
        <v>16</v>
      </c>
      <c r="C242" s="1082">
        <f t="shared" si="41"/>
        <v>4</v>
      </c>
      <c r="D242" s="1082" t="str">
        <f t="shared" si="40"/>
        <v>Boisson spécial numéro 4</v>
      </c>
      <c r="E242" s="1091">
        <f t="shared" si="40"/>
        <v>2.72</v>
      </c>
      <c r="F242" s="1128">
        <f t="shared" si="40"/>
        <v>9</v>
      </c>
      <c r="G242" s="1044">
        <f t="shared" ref="G242:G249" si="42">E242/F242</f>
        <v>0.30222222222222223</v>
      </c>
      <c r="H242" s="1092">
        <f t="shared" ref="H242:H249" si="43">F242-E242</f>
        <v>6.2799999999999994</v>
      </c>
      <c r="I242" s="1087"/>
      <c r="J242" s="1082"/>
      <c r="K242" s="1082"/>
      <c r="L242" s="1096"/>
      <c r="M242" s="1094"/>
      <c r="N242" s="1115"/>
    </row>
    <row r="243" spans="1:14" ht="18" x14ac:dyDescent="0.3">
      <c r="A243" s="1384"/>
      <c r="B243" s="1082">
        <f t="shared" si="41"/>
        <v>17</v>
      </c>
      <c r="C243" s="1082">
        <f t="shared" si="41"/>
        <v>5</v>
      </c>
      <c r="D243" s="1082" t="str">
        <f t="shared" si="40"/>
        <v>Boisson spécial numéro 5</v>
      </c>
      <c r="E243" s="1091">
        <f t="shared" si="40"/>
        <v>2.76</v>
      </c>
      <c r="F243" s="1128">
        <f t="shared" si="40"/>
        <v>9.1999999999999993</v>
      </c>
      <c r="G243" s="1044">
        <f t="shared" si="42"/>
        <v>0.3</v>
      </c>
      <c r="H243" s="1092">
        <f t="shared" si="43"/>
        <v>6.4399999999999995</v>
      </c>
      <c r="I243" s="1087"/>
      <c r="J243" s="1082"/>
      <c r="K243" s="1082"/>
      <c r="L243" s="1096"/>
      <c r="M243" s="1094"/>
      <c r="N243" s="1115"/>
    </row>
    <row r="244" spans="1:14" ht="18" x14ac:dyDescent="0.3">
      <c r="A244" s="1384"/>
      <c r="B244" s="1082">
        <f t="shared" si="41"/>
        <v>18</v>
      </c>
      <c r="C244" s="1082">
        <f t="shared" si="41"/>
        <v>6</v>
      </c>
      <c r="D244" s="1082" t="str">
        <f t="shared" si="40"/>
        <v>Boisson spécial numéro 6</v>
      </c>
      <c r="E244" s="1091">
        <f t="shared" si="40"/>
        <v>2.8</v>
      </c>
      <c r="F244" s="1128">
        <f t="shared" si="40"/>
        <v>9.4</v>
      </c>
      <c r="G244" s="1044">
        <f t="shared" si="42"/>
        <v>0.2978723404255319</v>
      </c>
      <c r="H244" s="1092">
        <f t="shared" si="43"/>
        <v>6.6000000000000005</v>
      </c>
      <c r="I244" s="1087"/>
      <c r="J244" s="1082"/>
      <c r="K244" s="1082"/>
      <c r="L244" s="1096"/>
      <c r="M244" s="1094"/>
      <c r="N244" s="1115"/>
    </row>
    <row r="245" spans="1:14" ht="18" x14ac:dyDescent="0.3">
      <c r="A245" s="1384"/>
      <c r="B245" s="1082">
        <f t="shared" si="41"/>
        <v>19</v>
      </c>
      <c r="C245" s="1082">
        <f t="shared" si="41"/>
        <v>7</v>
      </c>
      <c r="D245" s="1082" t="str">
        <f t="shared" si="40"/>
        <v>Boisson spécial numéro 7</v>
      </c>
      <c r="E245" s="1091">
        <f t="shared" si="40"/>
        <v>2.82</v>
      </c>
      <c r="F245" s="1128">
        <f t="shared" si="40"/>
        <v>9.6</v>
      </c>
      <c r="G245" s="1044">
        <f t="shared" si="42"/>
        <v>0.29375000000000001</v>
      </c>
      <c r="H245" s="1092">
        <f t="shared" si="43"/>
        <v>6.7799999999999994</v>
      </c>
      <c r="I245" s="1087"/>
      <c r="J245" s="1082"/>
      <c r="K245" s="1082"/>
      <c r="L245" s="1096"/>
      <c r="M245" s="1094"/>
      <c r="N245" s="1115"/>
    </row>
    <row r="246" spans="1:14" ht="18" x14ac:dyDescent="0.3">
      <c r="A246" s="1384"/>
      <c r="B246" s="1082">
        <f t="shared" si="41"/>
        <v>20</v>
      </c>
      <c r="C246" s="1082">
        <f t="shared" si="41"/>
        <v>8</v>
      </c>
      <c r="D246" s="1082" t="str">
        <f t="shared" si="40"/>
        <v>Boisson spécial numéro 8</v>
      </c>
      <c r="E246" s="1091">
        <f t="shared" si="40"/>
        <v>2.86</v>
      </c>
      <c r="F246" s="1128">
        <f t="shared" si="40"/>
        <v>9.8000000000000007</v>
      </c>
      <c r="G246" s="1044">
        <f t="shared" si="42"/>
        <v>0.2918367346938775</v>
      </c>
      <c r="H246" s="1092">
        <f t="shared" si="43"/>
        <v>6.9400000000000013</v>
      </c>
      <c r="I246" s="1087"/>
      <c r="J246" s="1082"/>
      <c r="K246" s="1082"/>
      <c r="L246" s="1096"/>
      <c r="M246" s="1094"/>
      <c r="N246" s="1115"/>
    </row>
    <row r="247" spans="1:14" ht="18" x14ac:dyDescent="0.3">
      <c r="A247" s="1384"/>
      <c r="B247" s="1082">
        <f t="shared" si="41"/>
        <v>21</v>
      </c>
      <c r="C247" s="1082">
        <f t="shared" si="41"/>
        <v>9</v>
      </c>
      <c r="D247" s="1082" t="str">
        <f t="shared" si="40"/>
        <v>Boisson spécial numéro 9</v>
      </c>
      <c r="E247" s="1091">
        <f t="shared" si="40"/>
        <v>2.9</v>
      </c>
      <c r="F247" s="1128">
        <f t="shared" si="40"/>
        <v>10</v>
      </c>
      <c r="G247" s="1044">
        <f t="shared" si="42"/>
        <v>0.28999999999999998</v>
      </c>
      <c r="H247" s="1092">
        <f t="shared" si="43"/>
        <v>7.1</v>
      </c>
      <c r="I247" s="1087"/>
      <c r="J247" s="1082"/>
      <c r="K247" s="1082"/>
      <c r="L247" s="1096"/>
      <c r="M247" s="1094"/>
      <c r="N247" s="1115"/>
    </row>
    <row r="248" spans="1:14" ht="18" x14ac:dyDescent="0.3">
      <c r="A248" s="1384"/>
      <c r="B248" s="1082">
        <f t="shared" si="41"/>
        <v>22</v>
      </c>
      <c r="C248" s="1082">
        <f t="shared" si="41"/>
        <v>10</v>
      </c>
      <c r="D248" s="1082" t="str">
        <f t="shared" si="40"/>
        <v>Boisson spécial numéro 10</v>
      </c>
      <c r="E248" s="1091">
        <f t="shared" si="40"/>
        <v>2.98</v>
      </c>
      <c r="F248" s="1128">
        <f t="shared" si="40"/>
        <v>10.4</v>
      </c>
      <c r="G248" s="1044">
        <f t="shared" si="42"/>
        <v>0.28653846153846152</v>
      </c>
      <c r="H248" s="1092">
        <f t="shared" si="43"/>
        <v>7.42</v>
      </c>
      <c r="I248" s="1087"/>
      <c r="J248" s="1082"/>
      <c r="K248" s="1082"/>
      <c r="L248" s="1096"/>
      <c r="M248" s="1094"/>
      <c r="N248" s="1115"/>
    </row>
    <row r="249" spans="1:14" ht="18" x14ac:dyDescent="0.3">
      <c r="A249" s="1384"/>
      <c r="B249" s="1082">
        <f t="shared" si="41"/>
        <v>23</v>
      </c>
      <c r="C249" s="1082">
        <f t="shared" si="41"/>
        <v>11</v>
      </c>
      <c r="D249" s="1082" t="str">
        <f t="shared" si="40"/>
        <v>Boisson spécial numéro 11</v>
      </c>
      <c r="E249" s="1091">
        <f t="shared" si="40"/>
        <v>3.18</v>
      </c>
      <c r="F249" s="1128">
        <f t="shared" si="40"/>
        <v>11.6</v>
      </c>
      <c r="G249" s="1044">
        <f t="shared" si="42"/>
        <v>0.27413793103448281</v>
      </c>
      <c r="H249" s="1092">
        <f t="shared" si="43"/>
        <v>8.42</v>
      </c>
      <c r="I249" s="1087"/>
      <c r="J249" s="1082"/>
      <c r="K249" s="1082"/>
      <c r="L249" s="1096"/>
      <c r="M249" s="1094"/>
      <c r="N249" s="1115"/>
    </row>
    <row r="250" spans="1:14" ht="18" x14ac:dyDescent="0.3">
      <c r="A250" s="1384"/>
      <c r="B250" s="1082">
        <f t="shared" si="41"/>
        <v>24</v>
      </c>
      <c r="C250" s="1082">
        <f t="shared" si="41"/>
        <v>12</v>
      </c>
      <c r="D250" s="1082" t="str">
        <f t="shared" si="40"/>
        <v>Boisson spécial numéro 12</v>
      </c>
      <c r="E250" s="1091">
        <f t="shared" si="40"/>
        <v>3.48</v>
      </c>
      <c r="F250" s="1128">
        <f t="shared" si="40"/>
        <v>13.2</v>
      </c>
      <c r="G250" s="1044">
        <f>E250/F250</f>
        <v>0.26363636363636367</v>
      </c>
      <c r="H250" s="1092">
        <f>F250-E250</f>
        <v>9.7199999999999989</v>
      </c>
      <c r="I250" s="1087"/>
      <c r="J250" s="1082"/>
      <c r="K250" s="1082"/>
      <c r="L250" s="1096"/>
      <c r="M250" s="1094"/>
      <c r="N250" s="1115"/>
    </row>
    <row r="251" spans="1:14" ht="19" x14ac:dyDescent="0.35">
      <c r="A251" s="1384"/>
      <c r="B251" s="1082"/>
      <c r="C251" s="1082"/>
      <c r="D251" s="1042" t="str">
        <f t="shared" si="40"/>
        <v>CmO—PmO—Beverage Cost—Marge brute</v>
      </c>
      <c r="E251" s="1046">
        <f>SUM(E239:E250)/C250</f>
        <v>2.8483333333333332</v>
      </c>
      <c r="F251" s="1046">
        <f>SUM(F239:F250)/C250</f>
        <v>9.5333333333333332</v>
      </c>
      <c r="G251" s="1050">
        <f>E251/F251</f>
        <v>0.29877622377622376</v>
      </c>
      <c r="H251" s="1048">
        <f>F251-E251</f>
        <v>6.6850000000000005</v>
      </c>
      <c r="I251" s="1100"/>
      <c r="J251" s="1082"/>
      <c r="K251" s="1082"/>
      <c r="L251" s="1096">
        <f>'Formule pour le calcul D'!AH50</f>
        <v>1.05</v>
      </c>
      <c r="M251" s="1094"/>
      <c r="N251" s="1115">
        <f>+L251*M256</f>
        <v>4834.2</v>
      </c>
    </row>
    <row r="252" spans="1:14" ht="19" thickBot="1" x14ac:dyDescent="0.35">
      <c r="A252" s="1384"/>
      <c r="B252" s="1082"/>
      <c r="C252" s="1082"/>
      <c r="D252" s="1082"/>
      <c r="E252" s="1091"/>
      <c r="F252" s="1091"/>
      <c r="G252" s="1043"/>
      <c r="H252" s="1049"/>
      <c r="I252" s="1082"/>
      <c r="J252" s="1082"/>
      <c r="K252" s="1082"/>
      <c r="L252" s="1096"/>
      <c r="M252" s="1094"/>
      <c r="N252" s="1115"/>
    </row>
    <row r="253" spans="1:14" ht="21" thickTop="1" thickBot="1" x14ac:dyDescent="0.4">
      <c r="A253" s="1384"/>
      <c r="B253" s="1082"/>
      <c r="C253" s="1051"/>
      <c r="D253" s="1052"/>
      <c r="E253" s="1102"/>
      <c r="F253" s="1102"/>
      <c r="G253" s="1053"/>
      <c r="H253" s="1103"/>
      <c r="I253" s="1104"/>
      <c r="J253" s="1082"/>
      <c r="K253" s="1082"/>
      <c r="L253" s="1096"/>
      <c r="M253" s="1094"/>
      <c r="N253" s="1115"/>
    </row>
    <row r="254" spans="1:14" ht="20" thickTop="1" thickBot="1" x14ac:dyDescent="0.35">
      <c r="A254" s="1384"/>
      <c r="B254" s="1082"/>
      <c r="C254" s="1055"/>
      <c r="D254" s="1042"/>
      <c r="E254" s="1105" t="str">
        <f>E211</f>
        <v>CmO</v>
      </c>
      <c r="F254" s="1105" t="str">
        <f>F211</f>
        <v>PmO</v>
      </c>
      <c r="G254" s="1056" t="str">
        <f>G211</f>
        <v>F&amp;BCmO</v>
      </c>
      <c r="H254" s="1106" t="str">
        <f>H211</f>
        <v>BmO</v>
      </c>
      <c r="I254" s="1107"/>
      <c r="J254" s="1082"/>
      <c r="K254" s="1082"/>
      <c r="L254" s="1096"/>
      <c r="M254" s="1094"/>
      <c r="N254" s="1115"/>
    </row>
    <row r="255" spans="1:14" ht="19" thickTop="1" x14ac:dyDescent="0.3">
      <c r="A255" s="1384"/>
      <c r="B255" s="1082"/>
      <c r="C255" s="1055"/>
      <c r="D255" s="1057" t="str">
        <f>D212</f>
        <v>OFFRE TOTALE AVEC LES GÂTERIES ET LES CAFÉS GÂTERIES</v>
      </c>
      <c r="E255" s="1091"/>
      <c r="F255" s="1091"/>
      <c r="G255" s="1043"/>
      <c r="H255" s="1049"/>
      <c r="I255" s="1058"/>
      <c r="J255" s="1082"/>
      <c r="K255" s="1082"/>
      <c r="L255" s="1096"/>
      <c r="M255" s="1094"/>
      <c r="N255" s="1115"/>
    </row>
    <row r="256" spans="1:14" ht="19" x14ac:dyDescent="0.35">
      <c r="A256" s="1384"/>
      <c r="B256" s="1082"/>
      <c r="C256" s="1055"/>
      <c r="D256" s="1042" t="str">
        <f>D213</f>
        <v>CmO—PmO—F&amp;B cost moyen offert—Marge brute</v>
      </c>
      <c r="E256" s="1059">
        <f>+(E224+E225+E226+E227+E228+E229+E230+E231+E232+E233+E234+E235+E239+E240+E241+E242+E243+E244+E245+E246+E247+E248+E249+E250)/B250</f>
        <v>2.1649999999999996</v>
      </c>
      <c r="F256" s="1059">
        <f>+(F224+F225+F226+F227+F228+F229+F230+F231+F232+F233+F234+F235+F239+F240+F241+F242+F243+F244+F245+F246+F247+F248+F249+F250)/B250</f>
        <v>7.1749999999999998</v>
      </c>
      <c r="G256" s="1060">
        <f>E256/F256</f>
        <v>0.30174216027874562</v>
      </c>
      <c r="H256" s="1061">
        <f>F256-E256</f>
        <v>5.01</v>
      </c>
      <c r="I256" s="1108"/>
      <c r="J256" s="1082"/>
      <c r="K256" s="1082"/>
      <c r="L256" s="1096">
        <f>L213</f>
        <v>3</v>
      </c>
      <c r="M256" s="1121">
        <f>'% Occupation'!I19</f>
        <v>4604</v>
      </c>
      <c r="N256" s="1115">
        <f>+N236+N251</f>
        <v>14272.399999999998</v>
      </c>
    </row>
    <row r="257" spans="1:14" ht="18" x14ac:dyDescent="0.3">
      <c r="A257" s="1384"/>
      <c r="B257" s="1082"/>
      <c r="C257" s="1055"/>
      <c r="D257" s="1082"/>
      <c r="E257" s="1109"/>
      <c r="F257" s="1109"/>
      <c r="G257" s="1045"/>
      <c r="H257" s="1062"/>
      <c r="I257" s="1063"/>
      <c r="J257" s="1082"/>
      <c r="K257" s="1082"/>
      <c r="L257" s="1096"/>
      <c r="M257" s="1094"/>
      <c r="N257" s="1115"/>
    </row>
    <row r="258" spans="1:14" ht="19" thickBot="1" x14ac:dyDescent="0.35">
      <c r="A258" s="1385"/>
      <c r="B258" s="1082"/>
      <c r="C258" s="1072"/>
      <c r="D258" s="1073"/>
      <c r="E258" s="1110"/>
      <c r="F258" s="1110"/>
      <c r="G258" s="1074"/>
      <c r="H258" s="1075"/>
      <c r="I258" s="1076"/>
      <c r="J258" s="1082"/>
      <c r="K258" s="1082"/>
      <c r="L258" s="1111"/>
      <c r="M258" s="1112"/>
      <c r="N258" s="1116"/>
    </row>
    <row r="259" spans="1:14" ht="17" thickTop="1" x14ac:dyDescent="0.3">
      <c r="L259" s="1117"/>
      <c r="M259" s="1118"/>
      <c r="N259" s="589"/>
    </row>
    <row r="260" spans="1:14" ht="23" x14ac:dyDescent="0.3">
      <c r="A260" s="1383" t="s">
        <v>528</v>
      </c>
      <c r="D260" s="1038" t="s">
        <v>556</v>
      </c>
      <c r="F260" s="1084"/>
      <c r="L260" s="1117"/>
      <c r="M260" s="1118"/>
      <c r="N260" s="589"/>
    </row>
    <row r="261" spans="1:14" ht="24" thickBot="1" x14ac:dyDescent="0.35">
      <c r="A261" s="1384"/>
      <c r="D261" s="1039"/>
      <c r="L261" s="1117"/>
      <c r="M261" s="1118"/>
      <c r="N261" s="589"/>
    </row>
    <row r="262" spans="1:14" ht="23" customHeight="1" thickTop="1" x14ac:dyDescent="0.25">
      <c r="A262" s="1384"/>
      <c r="D262" s="1039"/>
      <c r="E262" s="1378" t="str">
        <f>E219</f>
        <v>Coûts des ressources alimentaires pour chaque produit offert (voir recettes standardisées)</v>
      </c>
      <c r="F262" s="1378" t="str">
        <f>F219</f>
        <v>Prix de vente par produit offert</v>
      </c>
      <c r="G262" s="1378" t="str">
        <f>G219</f>
        <v xml:space="preserve">« Food &amp; Beverage Cost » </v>
      </c>
      <c r="H262" s="1378" t="str">
        <f>H219</f>
        <v>Marge brute gagnée sur la vente de chaque produit offert</v>
      </c>
      <c r="I262" s="1040"/>
      <c r="L262" s="1369" t="s">
        <v>592</v>
      </c>
      <c r="M262" s="1369" t="s">
        <v>593</v>
      </c>
      <c r="N262" s="1369" t="s">
        <v>594</v>
      </c>
    </row>
    <row r="263" spans="1:14" ht="22" x14ac:dyDescent="0.25">
      <c r="A263" s="1384"/>
      <c r="D263" s="1039"/>
      <c r="E263" s="1379"/>
      <c r="F263" s="1381"/>
      <c r="G263" s="1381"/>
      <c r="H263" s="1381"/>
      <c r="I263" s="1041"/>
      <c r="L263" s="1370"/>
      <c r="M263" s="1372"/>
      <c r="N263" s="1370"/>
    </row>
    <row r="264" spans="1:14" ht="14" customHeight="1" thickBot="1" x14ac:dyDescent="0.2">
      <c r="A264" s="1384"/>
      <c r="E264" s="1380"/>
      <c r="F264" s="1382"/>
      <c r="G264" s="1382"/>
      <c r="H264" s="1382"/>
      <c r="I264" s="1041"/>
      <c r="L264" s="1371"/>
      <c r="M264" s="1373"/>
      <c r="N264" s="1371"/>
    </row>
    <row r="265" spans="1:14" ht="18" thickTop="1" thickBot="1" x14ac:dyDescent="0.35">
      <c r="A265" s="1384"/>
      <c r="B265" s="161" t="s">
        <v>2</v>
      </c>
      <c r="E265" s="1084"/>
      <c r="F265" s="1084"/>
      <c r="G265" s="314"/>
      <c r="L265" s="1117"/>
      <c r="M265" s="1118"/>
      <c r="N265" s="589"/>
    </row>
    <row r="266" spans="1:14" ht="19" thickTop="1" x14ac:dyDescent="0.3">
      <c r="A266" s="1384"/>
      <c r="B266" s="1082"/>
      <c r="C266" s="1082"/>
      <c r="D266" s="1042" t="str">
        <f t="shared" ref="D266:F279" si="44">D223</f>
        <v>Les Petite Gâteries</v>
      </c>
      <c r="E266" s="1087"/>
      <c r="F266" s="1087"/>
      <c r="G266" s="1043"/>
      <c r="H266" s="1082"/>
      <c r="I266" s="1082"/>
      <c r="J266" s="1082"/>
      <c r="K266" s="1082"/>
      <c r="L266" s="1088"/>
      <c r="M266" s="1089"/>
      <c r="N266" s="1119"/>
    </row>
    <row r="267" spans="1:14" ht="18" x14ac:dyDescent="0.3">
      <c r="A267" s="1384"/>
      <c r="B267" s="1082">
        <f t="shared" ref="B267:C278" si="45">B224</f>
        <v>1</v>
      </c>
      <c r="C267" s="1082">
        <f t="shared" si="45"/>
        <v>1</v>
      </c>
      <c r="D267" s="1082" t="str">
        <f t="shared" si="44"/>
        <v>Petite Gâterie 1</v>
      </c>
      <c r="E267" s="1091">
        <f t="shared" si="44"/>
        <v>1.21</v>
      </c>
      <c r="F267" s="1131">
        <f t="shared" si="44"/>
        <v>3.3</v>
      </c>
      <c r="G267" s="1044">
        <f t="shared" ref="G267:G279" si="46">E267/F267</f>
        <v>0.3666666666666667</v>
      </c>
      <c r="H267" s="1092">
        <f t="shared" ref="H267:H279" si="47">F267-E267</f>
        <v>2.09</v>
      </c>
      <c r="I267" s="1087">
        <f>F267</f>
        <v>3.3</v>
      </c>
      <c r="J267" s="1374">
        <f>3/12</f>
        <v>0.25</v>
      </c>
      <c r="K267" s="1081"/>
      <c r="L267" s="1093"/>
      <c r="M267" s="1094"/>
      <c r="N267" s="1115"/>
    </row>
    <row r="268" spans="1:14" ht="18" x14ac:dyDescent="0.3">
      <c r="A268" s="1384"/>
      <c r="B268" s="1082">
        <f t="shared" si="45"/>
        <v>2</v>
      </c>
      <c r="C268" s="1082">
        <f t="shared" si="45"/>
        <v>2</v>
      </c>
      <c r="D268" s="1082" t="str">
        <f t="shared" si="44"/>
        <v>Petite Gâterie 2</v>
      </c>
      <c r="E268" s="1091">
        <f t="shared" si="44"/>
        <v>1.31</v>
      </c>
      <c r="F268" s="1128">
        <f t="shared" si="44"/>
        <v>3.8</v>
      </c>
      <c r="G268" s="1044">
        <f t="shared" si="46"/>
        <v>0.34473684210526317</v>
      </c>
      <c r="H268" s="1092">
        <f t="shared" si="47"/>
        <v>2.4899999999999998</v>
      </c>
      <c r="I268" s="1087"/>
      <c r="J268" s="1375"/>
      <c r="K268" s="1080"/>
      <c r="L268" s="1096"/>
      <c r="M268" s="1094"/>
      <c r="N268" s="1115"/>
    </row>
    <row r="269" spans="1:14" ht="19" thickBot="1" x14ac:dyDescent="0.35">
      <c r="A269" s="1384"/>
      <c r="B269" s="1070">
        <f t="shared" si="45"/>
        <v>3</v>
      </c>
      <c r="C269" s="1070">
        <f t="shared" si="45"/>
        <v>3</v>
      </c>
      <c r="D269" s="1070" t="str">
        <f t="shared" si="44"/>
        <v>Petite Gâterie 3</v>
      </c>
      <c r="E269" s="1097">
        <f t="shared" si="44"/>
        <v>1.35</v>
      </c>
      <c r="F269" s="1129">
        <f t="shared" si="44"/>
        <v>4</v>
      </c>
      <c r="G269" s="1071">
        <f t="shared" si="46"/>
        <v>0.33750000000000002</v>
      </c>
      <c r="H269" s="1098">
        <f t="shared" si="47"/>
        <v>2.65</v>
      </c>
      <c r="I269" s="1099">
        <f>+I267+1.066667</f>
        <v>4.3666669999999996</v>
      </c>
      <c r="J269" s="1376"/>
      <c r="K269" s="1080"/>
      <c r="L269" s="1096"/>
      <c r="M269" s="1094"/>
      <c r="N269" s="1115"/>
    </row>
    <row r="270" spans="1:14" ht="18" x14ac:dyDescent="0.3">
      <c r="A270" s="1384"/>
      <c r="B270" s="1082">
        <f t="shared" si="45"/>
        <v>4</v>
      </c>
      <c r="C270" s="1082">
        <f t="shared" si="45"/>
        <v>4</v>
      </c>
      <c r="D270" s="1082" t="str">
        <f t="shared" si="44"/>
        <v>Petite Gâterie 4</v>
      </c>
      <c r="E270" s="1091">
        <f t="shared" si="44"/>
        <v>1.4</v>
      </c>
      <c r="F270" s="1128">
        <f t="shared" si="44"/>
        <v>4.5</v>
      </c>
      <c r="G270" s="1044">
        <f t="shared" si="46"/>
        <v>0.31111111111111112</v>
      </c>
      <c r="H270" s="1092">
        <f t="shared" si="47"/>
        <v>3.1</v>
      </c>
      <c r="I270" s="1087">
        <f>+I269+0.01</f>
        <v>4.3766669999999994</v>
      </c>
      <c r="J270" s="1377">
        <f>7/12</f>
        <v>0.58333333333333337</v>
      </c>
      <c r="K270" s="1081"/>
      <c r="L270" s="1096"/>
      <c r="M270" s="1094"/>
      <c r="N270" s="1115"/>
    </row>
    <row r="271" spans="1:14" ht="18" x14ac:dyDescent="0.3">
      <c r="A271" s="1384"/>
      <c r="B271" s="1082">
        <f t="shared" si="45"/>
        <v>5</v>
      </c>
      <c r="C271" s="1082">
        <f t="shared" si="45"/>
        <v>5</v>
      </c>
      <c r="D271" s="1082" t="str">
        <f t="shared" si="44"/>
        <v>Petite Gâterie 5</v>
      </c>
      <c r="E271" s="1091">
        <f t="shared" si="44"/>
        <v>1.24</v>
      </c>
      <c r="F271" s="1128">
        <f t="shared" si="44"/>
        <v>4.5999999999999996</v>
      </c>
      <c r="G271" s="1044">
        <f t="shared" si="46"/>
        <v>0.26956521739130435</v>
      </c>
      <c r="H271" s="1092">
        <f t="shared" si="47"/>
        <v>3.3599999999999994</v>
      </c>
      <c r="I271" s="1087"/>
      <c r="J271" s="1375"/>
      <c r="K271" s="1080"/>
      <c r="L271" s="1096"/>
      <c r="M271" s="1094"/>
      <c r="N271" s="1115"/>
    </row>
    <row r="272" spans="1:14" ht="18" x14ac:dyDescent="0.3">
      <c r="A272" s="1384"/>
      <c r="B272" s="1082">
        <f t="shared" si="45"/>
        <v>6</v>
      </c>
      <c r="C272" s="1082">
        <f t="shared" si="45"/>
        <v>6</v>
      </c>
      <c r="D272" s="1082" t="str">
        <f t="shared" si="44"/>
        <v>Petite Gâterie 6</v>
      </c>
      <c r="E272" s="1091">
        <f t="shared" si="44"/>
        <v>1.39</v>
      </c>
      <c r="F272" s="1128">
        <f t="shared" si="44"/>
        <v>4.7</v>
      </c>
      <c r="G272" s="1044">
        <f t="shared" si="46"/>
        <v>0.29574468085106381</v>
      </c>
      <c r="H272" s="1092">
        <f t="shared" si="47"/>
        <v>3.3100000000000005</v>
      </c>
      <c r="I272" s="1087"/>
      <c r="J272" s="1375"/>
      <c r="K272" s="1080"/>
      <c r="L272" s="1096"/>
      <c r="M272" s="1094"/>
      <c r="N272" s="1115"/>
    </row>
    <row r="273" spans="1:14" ht="18" x14ac:dyDescent="0.3">
      <c r="A273" s="1384"/>
      <c r="B273" s="1082">
        <f t="shared" si="45"/>
        <v>7</v>
      </c>
      <c r="C273" s="1082">
        <f t="shared" si="45"/>
        <v>7</v>
      </c>
      <c r="D273" s="1082" t="str">
        <f t="shared" si="44"/>
        <v>Petite Gâterie 7</v>
      </c>
      <c r="E273" s="1091">
        <f t="shared" si="44"/>
        <v>1.51</v>
      </c>
      <c r="F273" s="1128">
        <f t="shared" si="44"/>
        <v>4.8</v>
      </c>
      <c r="G273" s="1044">
        <f t="shared" si="46"/>
        <v>0.31458333333333333</v>
      </c>
      <c r="H273" s="1092">
        <f t="shared" si="47"/>
        <v>3.29</v>
      </c>
      <c r="I273" s="1087"/>
      <c r="J273" s="1375"/>
      <c r="K273" s="1080"/>
      <c r="L273" s="1096"/>
      <c r="M273" s="1094"/>
      <c r="N273" s="1115"/>
    </row>
    <row r="274" spans="1:14" ht="18" x14ac:dyDescent="0.3">
      <c r="A274" s="1384"/>
      <c r="B274" s="1082">
        <f t="shared" si="45"/>
        <v>8</v>
      </c>
      <c r="C274" s="1082">
        <f t="shared" si="45"/>
        <v>8</v>
      </c>
      <c r="D274" s="1082" t="str">
        <f t="shared" si="44"/>
        <v>Petite Gâterie 8</v>
      </c>
      <c r="E274" s="1091">
        <f t="shared" si="44"/>
        <v>1.53</v>
      </c>
      <c r="F274" s="1128">
        <f t="shared" si="44"/>
        <v>4.9000000000000004</v>
      </c>
      <c r="G274" s="1044">
        <f t="shared" si="46"/>
        <v>0.31224489795918364</v>
      </c>
      <c r="H274" s="1092">
        <f t="shared" si="47"/>
        <v>3.37</v>
      </c>
      <c r="I274" s="1087"/>
      <c r="J274" s="1375"/>
      <c r="K274" s="1080"/>
      <c r="L274" s="1096"/>
      <c r="M274" s="1094"/>
      <c r="N274" s="1115"/>
    </row>
    <row r="275" spans="1:14" ht="18" x14ac:dyDescent="0.3">
      <c r="A275" s="1384"/>
      <c r="B275" s="1082">
        <f t="shared" si="45"/>
        <v>9</v>
      </c>
      <c r="C275" s="1082">
        <f t="shared" si="45"/>
        <v>9</v>
      </c>
      <c r="D275" s="1082" t="str">
        <f t="shared" si="44"/>
        <v>Petite Gâterie 9</v>
      </c>
      <c r="E275" s="1091">
        <f t="shared" si="44"/>
        <v>1.55</v>
      </c>
      <c r="F275" s="1128">
        <f t="shared" si="44"/>
        <v>5</v>
      </c>
      <c r="G275" s="1044">
        <f t="shared" si="46"/>
        <v>0.31</v>
      </c>
      <c r="H275" s="1092">
        <f t="shared" si="47"/>
        <v>3.45</v>
      </c>
      <c r="I275" s="1087"/>
      <c r="J275" s="1375"/>
      <c r="K275" s="1080"/>
      <c r="L275" s="1096"/>
      <c r="M275" s="1094"/>
      <c r="N275" s="1115"/>
    </row>
    <row r="276" spans="1:14" ht="19" thickBot="1" x14ac:dyDescent="0.35">
      <c r="A276" s="1384"/>
      <c r="B276" s="1070">
        <f t="shared" si="45"/>
        <v>10</v>
      </c>
      <c r="C276" s="1070">
        <f t="shared" si="45"/>
        <v>10</v>
      </c>
      <c r="D276" s="1070" t="str">
        <f t="shared" si="44"/>
        <v>Petite Gâterie 10</v>
      </c>
      <c r="E276" s="1097">
        <f t="shared" si="44"/>
        <v>1.59</v>
      </c>
      <c r="F276" s="1129">
        <f t="shared" si="44"/>
        <v>5.2</v>
      </c>
      <c r="G276" s="1071">
        <f t="shared" si="46"/>
        <v>0.30576923076923079</v>
      </c>
      <c r="H276" s="1098">
        <f t="shared" si="47"/>
        <v>3.6100000000000003</v>
      </c>
      <c r="I276" s="1099">
        <f>+I269+1.066667</f>
        <v>5.4333339999999994</v>
      </c>
      <c r="J276" s="1376"/>
      <c r="K276" s="1080"/>
      <c r="L276" s="1096"/>
      <c r="M276" s="1094"/>
      <c r="N276" s="1115"/>
    </row>
    <row r="277" spans="1:14" ht="18" x14ac:dyDescent="0.3">
      <c r="A277" s="1384"/>
      <c r="B277" s="1082">
        <f t="shared" si="45"/>
        <v>11</v>
      </c>
      <c r="C277" s="1082">
        <f t="shared" si="45"/>
        <v>11</v>
      </c>
      <c r="D277" s="1082" t="str">
        <f t="shared" si="44"/>
        <v>Petite Gâterie 11</v>
      </c>
      <c r="E277" s="1091">
        <f t="shared" si="44"/>
        <v>1.83</v>
      </c>
      <c r="F277" s="1128">
        <f t="shared" si="44"/>
        <v>6.4</v>
      </c>
      <c r="G277" s="1044">
        <f t="shared" si="46"/>
        <v>0.28593750000000001</v>
      </c>
      <c r="H277" s="1092">
        <f t="shared" si="47"/>
        <v>4.57</v>
      </c>
      <c r="I277" s="1087">
        <f>+I276+0.01</f>
        <v>5.4433339999999992</v>
      </c>
      <c r="J277" s="1377">
        <f>2/12</f>
        <v>0.16666666666666666</v>
      </c>
      <c r="K277" s="1081"/>
      <c r="L277" s="1096"/>
      <c r="M277" s="1094"/>
      <c r="N277" s="1115"/>
    </row>
    <row r="278" spans="1:14" ht="18" x14ac:dyDescent="0.3">
      <c r="A278" s="1384"/>
      <c r="B278" s="1082">
        <f t="shared" si="45"/>
        <v>12</v>
      </c>
      <c r="C278" s="1082">
        <f t="shared" si="45"/>
        <v>12</v>
      </c>
      <c r="D278" s="1082" t="str">
        <f t="shared" si="44"/>
        <v>Petite Gâterie 12</v>
      </c>
      <c r="E278" s="1091">
        <f t="shared" si="44"/>
        <v>1.87</v>
      </c>
      <c r="F278" s="1128">
        <f t="shared" si="44"/>
        <v>6.6</v>
      </c>
      <c r="G278" s="1044">
        <f t="shared" si="46"/>
        <v>0.28333333333333338</v>
      </c>
      <c r="H278" s="1092">
        <f t="shared" si="47"/>
        <v>4.7299999999999995</v>
      </c>
      <c r="I278" s="1087">
        <f>F278</f>
        <v>6.6</v>
      </c>
      <c r="J278" s="1375"/>
      <c r="K278" s="1080"/>
      <c r="L278" s="1096"/>
      <c r="M278" s="1094"/>
      <c r="N278" s="1115"/>
    </row>
    <row r="279" spans="1:14" ht="19" x14ac:dyDescent="0.35">
      <c r="A279" s="1384"/>
      <c r="B279" s="1082"/>
      <c r="C279" s="1082"/>
      <c r="D279" s="1042" t="str">
        <f t="shared" si="44"/>
        <v>CmO—PmO—Food Cost—BmO</v>
      </c>
      <c r="E279" s="1046">
        <f>SUM(E267:E278)/C278</f>
        <v>1.4816666666666667</v>
      </c>
      <c r="F279" s="1046">
        <f>SUM(F267:F278)/C278</f>
        <v>4.8166666666666673</v>
      </c>
      <c r="G279" s="1047">
        <f t="shared" si="46"/>
        <v>0.30761245674740478</v>
      </c>
      <c r="H279" s="1048">
        <f t="shared" si="47"/>
        <v>3.3350000000000009</v>
      </c>
      <c r="I279" s="1100"/>
      <c r="J279" s="1082"/>
      <c r="K279" s="1082"/>
      <c r="L279" s="1101">
        <f>'Formule pour le calcul D'!V58</f>
        <v>2.1</v>
      </c>
      <c r="M279" s="1094"/>
      <c r="N279" s="1120">
        <f>+L279*M299</f>
        <v>10023.300000000001</v>
      </c>
    </row>
    <row r="280" spans="1:14" ht="18" x14ac:dyDescent="0.3">
      <c r="A280" s="1384"/>
      <c r="B280" s="1082" t="s">
        <v>2</v>
      </c>
      <c r="C280" s="1082"/>
      <c r="D280" s="1082"/>
      <c r="E280" s="1091"/>
      <c r="F280" s="1091"/>
      <c r="G280" s="1044"/>
      <c r="H280" s="1049"/>
      <c r="I280" s="1087"/>
      <c r="J280" s="1082"/>
      <c r="K280" s="1082"/>
      <c r="L280" s="1096"/>
      <c r="M280" s="1094"/>
      <c r="N280" s="1115"/>
    </row>
    <row r="281" spans="1:14" ht="18" x14ac:dyDescent="0.3">
      <c r="A281" s="1384"/>
      <c r="B281" s="1082"/>
      <c r="C281" s="1082"/>
      <c r="D281" s="1042" t="str">
        <f t="shared" ref="D281:F294" si="48">D238</f>
        <v>Les Boissons  Gâteries</v>
      </c>
      <c r="E281" s="1091"/>
      <c r="F281" s="1091"/>
      <c r="G281" s="1044"/>
      <c r="H281" s="1049"/>
      <c r="I281" s="1087"/>
      <c r="J281" s="1082"/>
      <c r="K281" s="1082"/>
      <c r="L281" s="1096"/>
      <c r="M281" s="1094"/>
      <c r="N281" s="1115"/>
    </row>
    <row r="282" spans="1:14" ht="18" x14ac:dyDescent="0.3">
      <c r="A282" s="1384"/>
      <c r="B282" s="1082">
        <f t="shared" ref="B282:C293" si="49">B239</f>
        <v>13</v>
      </c>
      <c r="C282" s="1082">
        <f t="shared" si="49"/>
        <v>1</v>
      </c>
      <c r="D282" s="1082" t="str">
        <f t="shared" si="48"/>
        <v>Boisson spécial numéro 1</v>
      </c>
      <c r="E282" s="1091">
        <f t="shared" si="48"/>
        <v>2.2799999999999998</v>
      </c>
      <c r="F282" s="1131">
        <f>F239</f>
        <v>6.6</v>
      </c>
      <c r="G282" s="1044">
        <f>E282/F282</f>
        <v>0.34545454545454546</v>
      </c>
      <c r="H282" s="1092">
        <f>F282-E282</f>
        <v>4.32</v>
      </c>
      <c r="I282" s="1087">
        <f>F282</f>
        <v>6.6</v>
      </c>
      <c r="J282" s="1374">
        <f>3/12</f>
        <v>0.25</v>
      </c>
      <c r="K282" s="1081"/>
      <c r="L282" s="1096"/>
      <c r="M282" s="1094"/>
      <c r="N282" s="1115"/>
    </row>
    <row r="283" spans="1:14" ht="18" x14ac:dyDescent="0.3">
      <c r="A283" s="1384"/>
      <c r="B283" s="1082">
        <f t="shared" si="49"/>
        <v>14</v>
      </c>
      <c r="C283" s="1082">
        <f t="shared" si="49"/>
        <v>2</v>
      </c>
      <c r="D283" s="1082" t="str">
        <f t="shared" si="48"/>
        <v>Boisson spécial numéro 2</v>
      </c>
      <c r="E283" s="1091">
        <f t="shared" si="48"/>
        <v>2.66</v>
      </c>
      <c r="F283" s="1128">
        <f t="shared" si="48"/>
        <v>7.6</v>
      </c>
      <c r="G283" s="1044">
        <f>E283/F283</f>
        <v>0.35000000000000003</v>
      </c>
      <c r="H283" s="1092">
        <f>F283-E283</f>
        <v>4.9399999999999995</v>
      </c>
      <c r="I283" s="1087"/>
      <c r="J283" s="1375"/>
      <c r="K283" s="1080"/>
      <c r="L283" s="1096"/>
      <c r="M283" s="1094"/>
      <c r="N283" s="1115"/>
    </row>
    <row r="284" spans="1:14" ht="19" thickBot="1" x14ac:dyDescent="0.35">
      <c r="A284" s="1384"/>
      <c r="B284" s="1070">
        <f t="shared" si="49"/>
        <v>15</v>
      </c>
      <c r="C284" s="1070">
        <f t="shared" si="49"/>
        <v>3</v>
      </c>
      <c r="D284" s="1070" t="str">
        <f t="shared" si="48"/>
        <v>Boisson spécial numéro 3</v>
      </c>
      <c r="E284" s="1097">
        <f t="shared" si="48"/>
        <v>2.74</v>
      </c>
      <c r="F284" s="1129">
        <f t="shared" si="48"/>
        <v>8</v>
      </c>
      <c r="G284" s="1071">
        <f>E284/F284</f>
        <v>0.34250000000000003</v>
      </c>
      <c r="H284" s="1098">
        <f>F284-E284</f>
        <v>5.26</v>
      </c>
      <c r="I284" s="1099">
        <f>+I282+2.133333</f>
        <v>8.733333</v>
      </c>
      <c r="J284" s="1376"/>
      <c r="K284" s="1080"/>
      <c r="L284" s="1096"/>
      <c r="M284" s="1094"/>
      <c r="N284" s="1115"/>
    </row>
    <row r="285" spans="1:14" ht="18" x14ac:dyDescent="0.3">
      <c r="A285" s="1384"/>
      <c r="B285" s="1082">
        <f t="shared" si="49"/>
        <v>16</v>
      </c>
      <c r="C285" s="1082">
        <f t="shared" si="49"/>
        <v>4</v>
      </c>
      <c r="D285" s="1082" t="str">
        <f t="shared" si="48"/>
        <v>Boisson spécial numéro 4</v>
      </c>
      <c r="E285" s="1091">
        <f t="shared" si="48"/>
        <v>2.72</v>
      </c>
      <c r="F285" s="1128">
        <f t="shared" si="48"/>
        <v>9</v>
      </c>
      <c r="G285" s="1044">
        <f t="shared" ref="G285:G292" si="50">E285/F285</f>
        <v>0.30222222222222223</v>
      </c>
      <c r="H285" s="1092">
        <f t="shared" ref="H285:H292" si="51">F285-E285</f>
        <v>6.2799999999999994</v>
      </c>
      <c r="I285" s="1087">
        <f>+I284+0.01</f>
        <v>8.7433329999999998</v>
      </c>
      <c r="J285" s="1377">
        <f>7/12</f>
        <v>0.58333333333333337</v>
      </c>
      <c r="K285" s="1081"/>
      <c r="L285" s="1096"/>
      <c r="M285" s="1094"/>
      <c r="N285" s="1115"/>
    </row>
    <row r="286" spans="1:14" ht="18" x14ac:dyDescent="0.3">
      <c r="A286" s="1384"/>
      <c r="B286" s="1082">
        <f t="shared" si="49"/>
        <v>17</v>
      </c>
      <c r="C286" s="1082">
        <f t="shared" si="49"/>
        <v>5</v>
      </c>
      <c r="D286" s="1082" t="str">
        <f t="shared" si="48"/>
        <v>Boisson spécial numéro 5</v>
      </c>
      <c r="E286" s="1091">
        <f t="shared" si="48"/>
        <v>2.76</v>
      </c>
      <c r="F286" s="1128">
        <f t="shared" si="48"/>
        <v>9.1999999999999993</v>
      </c>
      <c r="G286" s="1044">
        <f t="shared" si="50"/>
        <v>0.3</v>
      </c>
      <c r="H286" s="1092">
        <f t="shared" si="51"/>
        <v>6.4399999999999995</v>
      </c>
      <c r="I286" s="1087"/>
      <c r="J286" s="1375"/>
      <c r="K286" s="1080"/>
      <c r="L286" s="1096"/>
      <c r="M286" s="1094"/>
      <c r="N286" s="1115"/>
    </row>
    <row r="287" spans="1:14" ht="18" x14ac:dyDescent="0.3">
      <c r="A287" s="1384"/>
      <c r="B287" s="1082">
        <f t="shared" si="49"/>
        <v>18</v>
      </c>
      <c r="C287" s="1082">
        <f t="shared" si="49"/>
        <v>6</v>
      </c>
      <c r="D287" s="1082" t="str">
        <f t="shared" si="48"/>
        <v>Boisson spécial numéro 6</v>
      </c>
      <c r="E287" s="1091">
        <f t="shared" si="48"/>
        <v>2.8</v>
      </c>
      <c r="F287" s="1128">
        <f t="shared" si="48"/>
        <v>9.4</v>
      </c>
      <c r="G287" s="1044">
        <f t="shared" si="50"/>
        <v>0.2978723404255319</v>
      </c>
      <c r="H287" s="1092">
        <f t="shared" si="51"/>
        <v>6.6000000000000005</v>
      </c>
      <c r="I287" s="1087"/>
      <c r="J287" s="1375"/>
      <c r="K287" s="1080"/>
      <c r="L287" s="1096"/>
      <c r="M287" s="1094"/>
      <c r="N287" s="1115"/>
    </row>
    <row r="288" spans="1:14" ht="18" x14ac:dyDescent="0.3">
      <c r="A288" s="1384"/>
      <c r="B288" s="1082">
        <f t="shared" si="49"/>
        <v>19</v>
      </c>
      <c r="C288" s="1082">
        <f t="shared" si="49"/>
        <v>7</v>
      </c>
      <c r="D288" s="1082" t="str">
        <f t="shared" si="48"/>
        <v>Boisson spécial numéro 7</v>
      </c>
      <c r="E288" s="1091">
        <f t="shared" si="48"/>
        <v>2.82</v>
      </c>
      <c r="F288" s="1128">
        <f t="shared" si="48"/>
        <v>9.6</v>
      </c>
      <c r="G288" s="1044">
        <f t="shared" si="50"/>
        <v>0.29375000000000001</v>
      </c>
      <c r="H288" s="1092">
        <f t="shared" si="51"/>
        <v>6.7799999999999994</v>
      </c>
      <c r="I288" s="1087"/>
      <c r="J288" s="1375"/>
      <c r="K288" s="1080"/>
      <c r="L288" s="1096"/>
      <c r="M288" s="1094"/>
      <c r="N288" s="1115"/>
    </row>
    <row r="289" spans="1:14" ht="18" x14ac:dyDescent="0.3">
      <c r="A289" s="1384"/>
      <c r="B289" s="1082">
        <f t="shared" si="49"/>
        <v>20</v>
      </c>
      <c r="C289" s="1082">
        <f t="shared" si="49"/>
        <v>8</v>
      </c>
      <c r="D289" s="1082" t="str">
        <f t="shared" si="48"/>
        <v>Boisson spécial numéro 8</v>
      </c>
      <c r="E289" s="1091">
        <f t="shared" si="48"/>
        <v>2.86</v>
      </c>
      <c r="F289" s="1128">
        <f t="shared" si="48"/>
        <v>9.8000000000000007</v>
      </c>
      <c r="G289" s="1044">
        <f t="shared" si="50"/>
        <v>0.2918367346938775</v>
      </c>
      <c r="H289" s="1092">
        <f t="shared" si="51"/>
        <v>6.9400000000000013</v>
      </c>
      <c r="I289" s="1087"/>
      <c r="J289" s="1375"/>
      <c r="K289" s="1080"/>
      <c r="L289" s="1096"/>
      <c r="M289" s="1094"/>
      <c r="N289" s="1115"/>
    </row>
    <row r="290" spans="1:14" ht="18" x14ac:dyDescent="0.3">
      <c r="A290" s="1384"/>
      <c r="B290" s="1082">
        <f t="shared" si="49"/>
        <v>21</v>
      </c>
      <c r="C290" s="1082">
        <f t="shared" si="49"/>
        <v>9</v>
      </c>
      <c r="D290" s="1082" t="str">
        <f t="shared" si="48"/>
        <v>Boisson spécial numéro 9</v>
      </c>
      <c r="E290" s="1091">
        <f t="shared" si="48"/>
        <v>2.9</v>
      </c>
      <c r="F290" s="1128">
        <f t="shared" si="48"/>
        <v>10</v>
      </c>
      <c r="G290" s="1044">
        <f t="shared" si="50"/>
        <v>0.28999999999999998</v>
      </c>
      <c r="H290" s="1092">
        <f t="shared" si="51"/>
        <v>7.1</v>
      </c>
      <c r="I290" s="1087"/>
      <c r="J290" s="1375"/>
      <c r="K290" s="1080"/>
      <c r="L290" s="1096"/>
      <c r="M290" s="1094"/>
      <c r="N290" s="1115"/>
    </row>
    <row r="291" spans="1:14" ht="19" thickBot="1" x14ac:dyDescent="0.35">
      <c r="A291" s="1384"/>
      <c r="B291" s="1070">
        <f t="shared" si="49"/>
        <v>22</v>
      </c>
      <c r="C291" s="1070">
        <f t="shared" si="49"/>
        <v>10</v>
      </c>
      <c r="D291" s="1070" t="str">
        <f t="shared" si="48"/>
        <v>Boisson spécial numéro 10</v>
      </c>
      <c r="E291" s="1097">
        <f t="shared" si="48"/>
        <v>2.98</v>
      </c>
      <c r="F291" s="1129">
        <f t="shared" si="48"/>
        <v>10.4</v>
      </c>
      <c r="G291" s="1071">
        <f t="shared" si="50"/>
        <v>0.28653846153846152</v>
      </c>
      <c r="H291" s="1098">
        <f t="shared" si="51"/>
        <v>7.42</v>
      </c>
      <c r="I291" s="1099">
        <f>+I284+2.133333</f>
        <v>10.866666</v>
      </c>
      <c r="J291" s="1376"/>
      <c r="K291" s="1080"/>
      <c r="L291" s="1096"/>
      <c r="M291" s="1094"/>
      <c r="N291" s="1115"/>
    </row>
    <row r="292" spans="1:14" ht="18" x14ac:dyDescent="0.3">
      <c r="A292" s="1384"/>
      <c r="B292" s="1082">
        <f t="shared" si="49"/>
        <v>23</v>
      </c>
      <c r="C292" s="1082">
        <f t="shared" si="49"/>
        <v>11</v>
      </c>
      <c r="D292" s="1082" t="str">
        <f t="shared" si="48"/>
        <v>Boisson spécial numéro 11</v>
      </c>
      <c r="E292" s="1091">
        <f t="shared" si="48"/>
        <v>3.18</v>
      </c>
      <c r="F292" s="1128">
        <f t="shared" si="48"/>
        <v>11.6</v>
      </c>
      <c r="G292" s="1044">
        <f t="shared" si="50"/>
        <v>0.27413793103448281</v>
      </c>
      <c r="H292" s="1092">
        <f t="shared" si="51"/>
        <v>8.42</v>
      </c>
      <c r="I292" s="1087">
        <f>+I291+0.01</f>
        <v>10.876666</v>
      </c>
      <c r="J292" s="1377">
        <f>2/12</f>
        <v>0.16666666666666666</v>
      </c>
      <c r="K292" s="1081"/>
      <c r="L292" s="1096"/>
      <c r="M292" s="1094"/>
      <c r="N292" s="1115"/>
    </row>
    <row r="293" spans="1:14" ht="18" x14ac:dyDescent="0.3">
      <c r="A293" s="1384"/>
      <c r="B293" s="1082">
        <f t="shared" si="49"/>
        <v>24</v>
      </c>
      <c r="C293" s="1082">
        <f t="shared" si="49"/>
        <v>12</v>
      </c>
      <c r="D293" s="1082" t="str">
        <f t="shared" si="48"/>
        <v>Boisson spécial numéro 12</v>
      </c>
      <c r="E293" s="1091">
        <f t="shared" si="48"/>
        <v>3.48</v>
      </c>
      <c r="F293" s="1128">
        <f t="shared" si="48"/>
        <v>13.2</v>
      </c>
      <c r="G293" s="1044">
        <f>E293/F293</f>
        <v>0.26363636363636367</v>
      </c>
      <c r="H293" s="1092">
        <f>F293-E293</f>
        <v>9.7199999999999989</v>
      </c>
      <c r="I293" s="1087">
        <f>F293</f>
        <v>13.2</v>
      </c>
      <c r="J293" s="1375"/>
      <c r="K293" s="1080"/>
      <c r="L293" s="1096"/>
      <c r="M293" s="1094"/>
      <c r="N293" s="1115"/>
    </row>
    <row r="294" spans="1:14" ht="19" x14ac:dyDescent="0.35">
      <c r="A294" s="1384"/>
      <c r="B294" s="1082"/>
      <c r="C294" s="1082"/>
      <c r="D294" s="1042" t="str">
        <f t="shared" si="48"/>
        <v>CmO—PmO—Beverage Cost—Marge brute</v>
      </c>
      <c r="E294" s="1046">
        <f>SUM(E282:E293)/C293</f>
        <v>2.8483333333333332</v>
      </c>
      <c r="F294" s="1046">
        <f>SUM(F282:F293)/C293</f>
        <v>9.5333333333333332</v>
      </c>
      <c r="G294" s="1050">
        <f>E294/F294</f>
        <v>0.29877622377622376</v>
      </c>
      <c r="H294" s="1048">
        <f>F294-E294</f>
        <v>6.6850000000000005</v>
      </c>
      <c r="I294" s="1100"/>
      <c r="J294" s="1082"/>
      <c r="K294" s="1082"/>
      <c r="L294" s="1096">
        <f>'Formule pour le calcul D'!AH58</f>
        <v>1.1000000000000001</v>
      </c>
      <c r="M294" s="1094"/>
      <c r="N294" s="1120">
        <f>+L294*M299</f>
        <v>5250.3</v>
      </c>
    </row>
    <row r="295" spans="1:14" ht="19" thickBot="1" x14ac:dyDescent="0.35">
      <c r="A295" s="1384"/>
      <c r="B295" s="1082"/>
      <c r="C295" s="1082"/>
      <c r="D295" s="1082"/>
      <c r="E295" s="1091"/>
      <c r="F295" s="1091"/>
      <c r="G295" s="1043"/>
      <c r="H295" s="1049"/>
      <c r="I295" s="1082"/>
      <c r="J295" s="1082"/>
      <c r="K295" s="1082"/>
      <c r="L295" s="1096"/>
      <c r="M295" s="1094"/>
      <c r="N295" s="1115"/>
    </row>
    <row r="296" spans="1:14" ht="21" thickTop="1" thickBot="1" x14ac:dyDescent="0.4">
      <c r="A296" s="1384"/>
      <c r="B296" s="1082"/>
      <c r="C296" s="1051"/>
      <c r="D296" s="1052"/>
      <c r="E296" s="1102"/>
      <c r="F296" s="1102"/>
      <c r="G296" s="1053"/>
      <c r="H296" s="1103"/>
      <c r="I296" s="1104"/>
      <c r="J296" s="1082"/>
      <c r="K296" s="1082"/>
      <c r="L296" s="1096"/>
      <c r="M296" s="1094"/>
      <c r="N296" s="1115"/>
    </row>
    <row r="297" spans="1:14" ht="20" thickTop="1" thickBot="1" x14ac:dyDescent="0.35">
      <c r="A297" s="1384"/>
      <c r="B297" s="1082"/>
      <c r="C297" s="1055"/>
      <c r="D297" s="1042"/>
      <c r="E297" s="1105" t="str">
        <f>E254</f>
        <v>CmO</v>
      </c>
      <c r="F297" s="1105" t="str">
        <f>F254</f>
        <v>PmO</v>
      </c>
      <c r="G297" s="1056" t="str">
        <f>G254</f>
        <v>F&amp;BCmO</v>
      </c>
      <c r="H297" s="1106" t="str">
        <f>H254</f>
        <v>BmO</v>
      </c>
      <c r="I297" s="1107"/>
      <c r="J297" s="1082"/>
      <c r="K297" s="1082"/>
      <c r="L297" s="1096"/>
      <c r="M297" s="1094"/>
      <c r="N297" s="1115"/>
    </row>
    <row r="298" spans="1:14" ht="19" thickTop="1" x14ac:dyDescent="0.3">
      <c r="A298" s="1384"/>
      <c r="B298" s="1082"/>
      <c r="C298" s="1055"/>
      <c r="D298" s="1057" t="str">
        <f>D255</f>
        <v>OFFRE TOTALE AVEC LES GÂTERIES ET LES CAFÉS GÂTERIES</v>
      </c>
      <c r="E298" s="1091"/>
      <c r="F298" s="1091"/>
      <c r="G298" s="1043"/>
      <c r="H298" s="1049"/>
      <c r="I298" s="1058"/>
      <c r="J298" s="1082"/>
      <c r="K298" s="1082"/>
      <c r="L298" s="1096"/>
      <c r="M298" s="1094"/>
      <c r="N298" s="1115"/>
    </row>
    <row r="299" spans="1:14" ht="19" x14ac:dyDescent="0.35">
      <c r="A299" s="1384"/>
      <c r="B299" s="1082"/>
      <c r="C299" s="1055"/>
      <c r="D299" s="1042" t="str">
        <f>D256</f>
        <v>CmO—PmO—F&amp;B cost moyen offert—Marge brute</v>
      </c>
      <c r="E299" s="1059">
        <f>+(E267+E268+E269+E270+E271+E272+E273+E274+E275+E276+E277+E278+E282+E283+E284+E285+E286+E287+E288+E289+E290+E291+E292+E293)/B293</f>
        <v>2.1649999999999996</v>
      </c>
      <c r="F299" s="1059">
        <f>+(F267+F268+F269+F270+F271+F272+F273+F274+F275+F276+F277+F278+F282+F283+F284+F285+F286+F287+F288+F289+F290+F291+F292+F293)/B293</f>
        <v>7.1749999999999998</v>
      </c>
      <c r="G299" s="1060">
        <f>E299/F299</f>
        <v>0.30174216027874562</v>
      </c>
      <c r="H299" s="1061">
        <f>F299-E299</f>
        <v>5.01</v>
      </c>
      <c r="I299" s="1108"/>
      <c r="J299" s="1082"/>
      <c r="K299" s="1082"/>
      <c r="L299" s="1096">
        <f>L256</f>
        <v>3</v>
      </c>
      <c r="M299" s="1121">
        <f>'% Occupation'!J19</f>
        <v>4773</v>
      </c>
      <c r="N299" s="1120">
        <f>+N279+N294</f>
        <v>15273.600000000002</v>
      </c>
    </row>
    <row r="300" spans="1:14" ht="18" x14ac:dyDescent="0.3">
      <c r="A300" s="1384"/>
      <c r="B300" s="1082"/>
      <c r="C300" s="1055"/>
      <c r="D300" s="1082"/>
      <c r="E300" s="1109"/>
      <c r="F300" s="1109"/>
      <c r="G300" s="1045"/>
      <c r="H300" s="1062"/>
      <c r="I300" s="1063"/>
      <c r="J300" s="1082"/>
      <c r="K300" s="1082"/>
      <c r="L300" s="1096"/>
      <c r="M300" s="1094"/>
      <c r="N300" s="1115"/>
    </row>
    <row r="301" spans="1:14" ht="19" thickBot="1" x14ac:dyDescent="0.35">
      <c r="A301" s="1384"/>
      <c r="B301" s="1082"/>
      <c r="C301" s="1072"/>
      <c r="D301" s="1073"/>
      <c r="E301" s="1110"/>
      <c r="F301" s="1110"/>
      <c r="G301" s="1074"/>
      <c r="H301" s="1075"/>
      <c r="I301" s="1076"/>
      <c r="J301" s="1082"/>
      <c r="K301" s="1082"/>
      <c r="L301" s="1111"/>
      <c r="M301" s="1112"/>
      <c r="N301" s="1116"/>
    </row>
    <row r="302" spans="1:14" ht="17" thickTop="1" x14ac:dyDescent="0.3">
      <c r="A302" s="1384"/>
      <c r="L302" s="1117"/>
      <c r="M302" s="1118"/>
      <c r="N302" s="589"/>
    </row>
    <row r="303" spans="1:14" ht="23" x14ac:dyDescent="0.3">
      <c r="A303" s="1384"/>
      <c r="D303" s="1038" t="s">
        <v>557</v>
      </c>
      <c r="F303" s="1084"/>
      <c r="L303" s="1117"/>
      <c r="M303" s="1118"/>
      <c r="N303" s="589"/>
    </row>
    <row r="304" spans="1:14" ht="24" thickBot="1" x14ac:dyDescent="0.35">
      <c r="A304" s="1384"/>
      <c r="D304" s="1039"/>
      <c r="L304" s="1117"/>
      <c r="M304" s="1118"/>
      <c r="N304" s="589"/>
    </row>
    <row r="305" spans="1:14" ht="23" customHeight="1" thickTop="1" x14ac:dyDescent="0.25">
      <c r="A305" s="1384"/>
      <c r="D305" s="1039"/>
      <c r="E305" s="1378" t="str">
        <f>E262</f>
        <v>Coûts des ressources alimentaires pour chaque produit offert (voir recettes standardisées)</v>
      </c>
      <c r="F305" s="1378" t="str">
        <f>F262</f>
        <v>Prix de vente par produit offert</v>
      </c>
      <c r="G305" s="1378" t="str">
        <f>G262</f>
        <v xml:space="preserve">« Food &amp; Beverage Cost » </v>
      </c>
      <c r="H305" s="1378" t="str">
        <f>H262</f>
        <v>Marge brute gagnée sur la vente de chaque produit offert</v>
      </c>
      <c r="I305" s="1040"/>
      <c r="L305" s="1369" t="s">
        <v>592</v>
      </c>
      <c r="M305" s="1369" t="s">
        <v>593</v>
      </c>
      <c r="N305" s="1369" t="s">
        <v>594</v>
      </c>
    </row>
    <row r="306" spans="1:14" ht="22" x14ac:dyDescent="0.25">
      <c r="A306" s="1384"/>
      <c r="D306" s="1039"/>
      <c r="E306" s="1379"/>
      <c r="F306" s="1381"/>
      <c r="G306" s="1381"/>
      <c r="H306" s="1381"/>
      <c r="I306" s="1041"/>
      <c r="L306" s="1370"/>
      <c r="M306" s="1372"/>
      <c r="N306" s="1370"/>
    </row>
    <row r="307" spans="1:14" ht="14" customHeight="1" thickBot="1" x14ac:dyDescent="0.2">
      <c r="A307" s="1384"/>
      <c r="E307" s="1380"/>
      <c r="F307" s="1382"/>
      <c r="G307" s="1382"/>
      <c r="H307" s="1382"/>
      <c r="I307" s="1041"/>
      <c r="L307" s="1371"/>
      <c r="M307" s="1373"/>
      <c r="N307" s="1371"/>
    </row>
    <row r="308" spans="1:14" ht="18" thickTop="1" thickBot="1" x14ac:dyDescent="0.35">
      <c r="A308" s="1384"/>
      <c r="B308" s="161" t="s">
        <v>2</v>
      </c>
      <c r="E308" s="1084"/>
      <c r="F308" s="1084"/>
      <c r="G308" s="314"/>
      <c r="L308" s="1117"/>
      <c r="M308" s="1118"/>
      <c r="N308" s="589"/>
    </row>
    <row r="309" spans="1:14" ht="19" thickTop="1" x14ac:dyDescent="0.3">
      <c r="A309" s="1384"/>
      <c r="B309" s="1082"/>
      <c r="C309" s="1082"/>
      <c r="D309" s="1042" t="str">
        <f t="shared" ref="D309:F322" si="52">D266</f>
        <v>Les Petite Gâteries</v>
      </c>
      <c r="E309" s="1087"/>
      <c r="F309" s="1087"/>
      <c r="G309" s="1043"/>
      <c r="H309" s="1082"/>
      <c r="I309" s="1082"/>
      <c r="J309" s="1082"/>
      <c r="K309" s="1082"/>
      <c r="L309" s="1088"/>
      <c r="M309" s="1089"/>
      <c r="N309" s="1119"/>
    </row>
    <row r="310" spans="1:14" ht="18" x14ac:dyDescent="0.3">
      <c r="A310" s="1384"/>
      <c r="B310" s="1082">
        <f t="shared" ref="B310:C321" si="53">B267</f>
        <v>1</v>
      </c>
      <c r="C310" s="1082">
        <f t="shared" si="53"/>
        <v>1</v>
      </c>
      <c r="D310" s="1082" t="str">
        <f t="shared" si="52"/>
        <v>Petite Gâterie 1</v>
      </c>
      <c r="E310" s="1091">
        <f t="shared" si="52"/>
        <v>1.21</v>
      </c>
      <c r="F310" s="1128">
        <f t="shared" si="52"/>
        <v>3.3</v>
      </c>
      <c r="G310" s="1044">
        <f t="shared" ref="G310:G322" si="54">E310/F310</f>
        <v>0.3666666666666667</v>
      </c>
      <c r="H310" s="1092">
        <f t="shared" ref="H310:H322" si="55">F310-E310</f>
        <v>2.09</v>
      </c>
      <c r="I310" s="1087"/>
      <c r="J310" s="1082"/>
      <c r="K310" s="1082"/>
      <c r="L310" s="1093"/>
      <c r="M310" s="1094"/>
      <c r="N310" s="1115"/>
    </row>
    <row r="311" spans="1:14" ht="18" x14ac:dyDescent="0.3">
      <c r="A311" s="1384"/>
      <c r="B311" s="1082">
        <f t="shared" si="53"/>
        <v>2</v>
      </c>
      <c r="C311" s="1082">
        <f t="shared" si="53"/>
        <v>2</v>
      </c>
      <c r="D311" s="1082" t="str">
        <f t="shared" si="52"/>
        <v>Petite Gâterie 2</v>
      </c>
      <c r="E311" s="1091">
        <f t="shared" si="52"/>
        <v>1.31</v>
      </c>
      <c r="F311" s="1128">
        <f t="shared" si="52"/>
        <v>3.8</v>
      </c>
      <c r="G311" s="1044">
        <f t="shared" si="54"/>
        <v>0.34473684210526317</v>
      </c>
      <c r="H311" s="1092">
        <f t="shared" si="55"/>
        <v>2.4899999999999998</v>
      </c>
      <c r="I311" s="1087"/>
      <c r="J311" s="1082"/>
      <c r="K311" s="1082"/>
      <c r="L311" s="1096"/>
      <c r="M311" s="1094"/>
      <c r="N311" s="1115"/>
    </row>
    <row r="312" spans="1:14" ht="18" x14ac:dyDescent="0.3">
      <c r="A312" s="1384"/>
      <c r="B312" s="1082">
        <f t="shared" si="53"/>
        <v>3</v>
      </c>
      <c r="C312" s="1082">
        <f t="shared" si="53"/>
        <v>3</v>
      </c>
      <c r="D312" s="1082" t="str">
        <f t="shared" si="52"/>
        <v>Petite Gâterie 3</v>
      </c>
      <c r="E312" s="1091">
        <f t="shared" si="52"/>
        <v>1.35</v>
      </c>
      <c r="F312" s="1128">
        <f t="shared" si="52"/>
        <v>4</v>
      </c>
      <c r="G312" s="1044">
        <f t="shared" si="54"/>
        <v>0.33750000000000002</v>
      </c>
      <c r="H312" s="1092">
        <f t="shared" si="55"/>
        <v>2.65</v>
      </c>
      <c r="I312" s="1087"/>
      <c r="J312" s="1082"/>
      <c r="K312" s="1082"/>
      <c r="L312" s="1096"/>
      <c r="M312" s="1094"/>
      <c r="N312" s="1115"/>
    </row>
    <row r="313" spans="1:14" ht="18" x14ac:dyDescent="0.3">
      <c r="A313" s="1384"/>
      <c r="B313" s="1082">
        <f t="shared" si="53"/>
        <v>4</v>
      </c>
      <c r="C313" s="1082">
        <f t="shared" si="53"/>
        <v>4</v>
      </c>
      <c r="D313" s="1082" t="str">
        <f t="shared" si="52"/>
        <v>Petite Gâterie 4</v>
      </c>
      <c r="E313" s="1091">
        <f t="shared" si="52"/>
        <v>1.4</v>
      </c>
      <c r="F313" s="1128">
        <f t="shared" si="52"/>
        <v>4.5</v>
      </c>
      <c r="G313" s="1044">
        <f t="shared" si="54"/>
        <v>0.31111111111111112</v>
      </c>
      <c r="H313" s="1092">
        <f t="shared" si="55"/>
        <v>3.1</v>
      </c>
      <c r="I313" s="1087"/>
      <c r="J313" s="1082"/>
      <c r="K313" s="1082"/>
      <c r="L313" s="1096"/>
      <c r="M313" s="1094"/>
      <c r="N313" s="1115"/>
    </row>
    <row r="314" spans="1:14" ht="18" x14ac:dyDescent="0.3">
      <c r="A314" s="1384"/>
      <c r="B314" s="1082">
        <f t="shared" si="53"/>
        <v>5</v>
      </c>
      <c r="C314" s="1082">
        <f t="shared" si="53"/>
        <v>5</v>
      </c>
      <c r="D314" s="1082" t="str">
        <f t="shared" si="52"/>
        <v>Petite Gâterie 5</v>
      </c>
      <c r="E314" s="1091">
        <f t="shared" si="52"/>
        <v>1.24</v>
      </c>
      <c r="F314" s="1128">
        <f t="shared" si="52"/>
        <v>4.5999999999999996</v>
      </c>
      <c r="G314" s="1044">
        <f t="shared" si="54"/>
        <v>0.26956521739130435</v>
      </c>
      <c r="H314" s="1092">
        <f t="shared" si="55"/>
        <v>3.3599999999999994</v>
      </c>
      <c r="I314" s="1087"/>
      <c r="J314" s="1082"/>
      <c r="K314" s="1082"/>
      <c r="L314" s="1096"/>
      <c r="M314" s="1094"/>
      <c r="N314" s="1115"/>
    </row>
    <row r="315" spans="1:14" ht="18" x14ac:dyDescent="0.3">
      <c r="A315" s="1384"/>
      <c r="B315" s="1082">
        <f t="shared" si="53"/>
        <v>6</v>
      </c>
      <c r="C315" s="1082">
        <f t="shared" si="53"/>
        <v>6</v>
      </c>
      <c r="D315" s="1082" t="str">
        <f t="shared" si="52"/>
        <v>Petite Gâterie 6</v>
      </c>
      <c r="E315" s="1091">
        <f t="shared" si="52"/>
        <v>1.39</v>
      </c>
      <c r="F315" s="1128">
        <f t="shared" si="52"/>
        <v>4.7</v>
      </c>
      <c r="G315" s="1044">
        <f t="shared" si="54"/>
        <v>0.29574468085106381</v>
      </c>
      <c r="H315" s="1092">
        <f t="shared" si="55"/>
        <v>3.3100000000000005</v>
      </c>
      <c r="I315" s="1087"/>
      <c r="J315" s="1082"/>
      <c r="K315" s="1082"/>
      <c r="L315" s="1096"/>
      <c r="M315" s="1094"/>
      <c r="N315" s="1115"/>
    </row>
    <row r="316" spans="1:14" ht="18" x14ac:dyDescent="0.3">
      <c r="A316" s="1384"/>
      <c r="B316" s="1082">
        <f t="shared" si="53"/>
        <v>7</v>
      </c>
      <c r="C316" s="1082">
        <f t="shared" si="53"/>
        <v>7</v>
      </c>
      <c r="D316" s="1082" t="str">
        <f t="shared" si="52"/>
        <v>Petite Gâterie 7</v>
      </c>
      <c r="E316" s="1091">
        <f t="shared" si="52"/>
        <v>1.51</v>
      </c>
      <c r="F316" s="1128">
        <f t="shared" si="52"/>
        <v>4.8</v>
      </c>
      <c r="G316" s="1044">
        <f t="shared" si="54"/>
        <v>0.31458333333333333</v>
      </c>
      <c r="H316" s="1092">
        <f t="shared" si="55"/>
        <v>3.29</v>
      </c>
      <c r="I316" s="1087"/>
      <c r="J316" s="1082"/>
      <c r="K316" s="1082"/>
      <c r="L316" s="1096"/>
      <c r="M316" s="1094"/>
      <c r="N316" s="1115"/>
    </row>
    <row r="317" spans="1:14" ht="18" x14ac:dyDescent="0.3">
      <c r="A317" s="1384"/>
      <c r="B317" s="1082">
        <f t="shared" si="53"/>
        <v>8</v>
      </c>
      <c r="C317" s="1082">
        <f t="shared" si="53"/>
        <v>8</v>
      </c>
      <c r="D317" s="1082" t="str">
        <f t="shared" si="52"/>
        <v>Petite Gâterie 8</v>
      </c>
      <c r="E317" s="1091">
        <f t="shared" si="52"/>
        <v>1.53</v>
      </c>
      <c r="F317" s="1128">
        <f t="shared" si="52"/>
        <v>4.9000000000000004</v>
      </c>
      <c r="G317" s="1044">
        <f t="shared" si="54"/>
        <v>0.31224489795918364</v>
      </c>
      <c r="H317" s="1092">
        <f t="shared" si="55"/>
        <v>3.37</v>
      </c>
      <c r="I317" s="1087"/>
      <c r="J317" s="1082"/>
      <c r="K317" s="1082"/>
      <c r="L317" s="1096"/>
      <c r="M317" s="1094"/>
      <c r="N317" s="1115"/>
    </row>
    <row r="318" spans="1:14" ht="18" x14ac:dyDescent="0.3">
      <c r="A318" s="1384"/>
      <c r="B318" s="1082">
        <f t="shared" si="53"/>
        <v>9</v>
      </c>
      <c r="C318" s="1082">
        <f t="shared" si="53"/>
        <v>9</v>
      </c>
      <c r="D318" s="1082" t="str">
        <f t="shared" si="52"/>
        <v>Petite Gâterie 9</v>
      </c>
      <c r="E318" s="1091">
        <f t="shared" si="52"/>
        <v>1.55</v>
      </c>
      <c r="F318" s="1128">
        <f t="shared" si="52"/>
        <v>5</v>
      </c>
      <c r="G318" s="1044">
        <f t="shared" si="54"/>
        <v>0.31</v>
      </c>
      <c r="H318" s="1092">
        <f t="shared" si="55"/>
        <v>3.45</v>
      </c>
      <c r="I318" s="1087"/>
      <c r="J318" s="1082"/>
      <c r="K318" s="1082"/>
      <c r="L318" s="1096"/>
      <c r="M318" s="1094"/>
      <c r="N318" s="1115"/>
    </row>
    <row r="319" spans="1:14" ht="18" x14ac:dyDescent="0.3">
      <c r="A319" s="1384"/>
      <c r="B319" s="1082">
        <f t="shared" si="53"/>
        <v>10</v>
      </c>
      <c r="C319" s="1082">
        <f t="shared" si="53"/>
        <v>10</v>
      </c>
      <c r="D319" s="1082" t="str">
        <f t="shared" si="52"/>
        <v>Petite Gâterie 10</v>
      </c>
      <c r="E319" s="1091">
        <f t="shared" si="52"/>
        <v>1.59</v>
      </c>
      <c r="F319" s="1128">
        <f t="shared" si="52"/>
        <v>5.2</v>
      </c>
      <c r="G319" s="1044">
        <f t="shared" si="54"/>
        <v>0.30576923076923079</v>
      </c>
      <c r="H319" s="1092">
        <f t="shared" si="55"/>
        <v>3.6100000000000003</v>
      </c>
      <c r="I319" s="1087"/>
      <c r="J319" s="1082"/>
      <c r="K319" s="1082"/>
      <c r="L319" s="1096"/>
      <c r="M319" s="1094"/>
      <c r="N319" s="1115"/>
    </row>
    <row r="320" spans="1:14" ht="18" x14ac:dyDescent="0.3">
      <c r="A320" s="1384"/>
      <c r="B320" s="1082">
        <f t="shared" si="53"/>
        <v>11</v>
      </c>
      <c r="C320" s="1082">
        <f t="shared" si="53"/>
        <v>11</v>
      </c>
      <c r="D320" s="1082" t="str">
        <f t="shared" si="52"/>
        <v>Petite Gâterie 11</v>
      </c>
      <c r="E320" s="1091">
        <f t="shared" si="52"/>
        <v>1.83</v>
      </c>
      <c r="F320" s="1128">
        <f t="shared" si="52"/>
        <v>6.4</v>
      </c>
      <c r="G320" s="1044">
        <f t="shared" si="54"/>
        <v>0.28593750000000001</v>
      </c>
      <c r="H320" s="1092">
        <f t="shared" si="55"/>
        <v>4.57</v>
      </c>
      <c r="I320" s="1087"/>
      <c r="J320" s="1082"/>
      <c r="K320" s="1082"/>
      <c r="L320" s="1096"/>
      <c r="M320" s="1094"/>
      <c r="N320" s="1115"/>
    </row>
    <row r="321" spans="1:14" ht="18" x14ac:dyDescent="0.3">
      <c r="A321" s="1384"/>
      <c r="B321" s="1082">
        <f t="shared" si="53"/>
        <v>12</v>
      </c>
      <c r="C321" s="1082">
        <f t="shared" si="53"/>
        <v>12</v>
      </c>
      <c r="D321" s="1082" t="str">
        <f t="shared" si="52"/>
        <v>Petite Gâterie 12</v>
      </c>
      <c r="E321" s="1091">
        <f t="shared" si="52"/>
        <v>1.87</v>
      </c>
      <c r="F321" s="1128">
        <f t="shared" si="52"/>
        <v>6.6</v>
      </c>
      <c r="G321" s="1044">
        <f t="shared" si="54"/>
        <v>0.28333333333333338</v>
      </c>
      <c r="H321" s="1092">
        <f t="shared" si="55"/>
        <v>4.7299999999999995</v>
      </c>
      <c r="I321" s="1087"/>
      <c r="J321" s="1082"/>
      <c r="K321" s="1082"/>
      <c r="L321" s="1096"/>
      <c r="M321" s="1094"/>
      <c r="N321" s="1115"/>
    </row>
    <row r="322" spans="1:14" ht="19" x14ac:dyDescent="0.35">
      <c r="A322" s="1384"/>
      <c r="B322" s="1082"/>
      <c r="C322" s="1082"/>
      <c r="D322" s="1042" t="str">
        <f t="shared" si="52"/>
        <v>CmO—PmO—Food Cost—BmO</v>
      </c>
      <c r="E322" s="1046">
        <f>SUM(E310:E321)/C321</f>
        <v>1.4816666666666667</v>
      </c>
      <c r="F322" s="1046">
        <f>SUM(F310:F321)/C321</f>
        <v>4.8166666666666673</v>
      </c>
      <c r="G322" s="1047">
        <f t="shared" si="54"/>
        <v>0.30761245674740478</v>
      </c>
      <c r="H322" s="1048">
        <f t="shared" si="55"/>
        <v>3.3350000000000009</v>
      </c>
      <c r="I322" s="1100"/>
      <c r="J322" s="1082"/>
      <c r="K322" s="1082"/>
      <c r="L322" s="1101">
        <f>'Formule pour le calcul D'!V66</f>
        <v>2.1</v>
      </c>
      <c r="M322" s="1094"/>
      <c r="N322" s="1120">
        <f>+L322*M342</f>
        <v>10155.6</v>
      </c>
    </row>
    <row r="323" spans="1:14" ht="18" x14ac:dyDescent="0.3">
      <c r="A323" s="1384"/>
      <c r="B323" s="1082" t="s">
        <v>2</v>
      </c>
      <c r="C323" s="1082"/>
      <c r="D323" s="1082"/>
      <c r="E323" s="1091"/>
      <c r="F323" s="1091"/>
      <c r="G323" s="1044"/>
      <c r="H323" s="1049"/>
      <c r="I323" s="1082"/>
      <c r="J323" s="1082"/>
      <c r="K323" s="1082"/>
      <c r="L323" s="1096"/>
      <c r="M323" s="1094"/>
      <c r="N323" s="1115"/>
    </row>
    <row r="324" spans="1:14" ht="18" x14ac:dyDescent="0.3">
      <c r="A324" s="1384"/>
      <c r="B324" s="1082"/>
      <c r="C324" s="1082"/>
      <c r="D324" s="1042" t="str">
        <f t="shared" ref="D324:F337" si="56">D281</f>
        <v>Les Boissons  Gâteries</v>
      </c>
      <c r="E324" s="1091"/>
      <c r="F324" s="1091"/>
      <c r="G324" s="1044"/>
      <c r="H324" s="1049"/>
      <c r="I324" s="1082"/>
      <c r="J324" s="1082"/>
      <c r="K324" s="1082"/>
      <c r="L324" s="1096"/>
      <c r="M324" s="1094"/>
      <c r="N324" s="1115"/>
    </row>
    <row r="325" spans="1:14" ht="18" x14ac:dyDescent="0.3">
      <c r="A325" s="1384"/>
      <c r="B325" s="1082">
        <f t="shared" ref="B325:C336" si="57">B282</f>
        <v>13</v>
      </c>
      <c r="C325" s="1082">
        <f t="shared" si="57"/>
        <v>1</v>
      </c>
      <c r="D325" s="1082" t="str">
        <f t="shared" si="56"/>
        <v>Boisson spécial numéro 1</v>
      </c>
      <c r="E325" s="1091">
        <f t="shared" si="56"/>
        <v>2.2799999999999998</v>
      </c>
      <c r="F325" s="1128">
        <f t="shared" si="56"/>
        <v>6.6</v>
      </c>
      <c r="G325" s="1044">
        <f>E325/F325</f>
        <v>0.34545454545454546</v>
      </c>
      <c r="H325" s="1092">
        <f>F325-E325</f>
        <v>4.32</v>
      </c>
      <c r="I325" s="1087"/>
      <c r="J325" s="1082"/>
      <c r="K325" s="1082"/>
      <c r="L325" s="1096"/>
      <c r="M325" s="1094"/>
      <c r="N325" s="1115"/>
    </row>
    <row r="326" spans="1:14" ht="18" x14ac:dyDescent="0.3">
      <c r="A326" s="1384"/>
      <c r="B326" s="1082">
        <f t="shared" si="57"/>
        <v>14</v>
      </c>
      <c r="C326" s="1082">
        <f t="shared" si="57"/>
        <v>2</v>
      </c>
      <c r="D326" s="1082" t="str">
        <f t="shared" si="56"/>
        <v>Boisson spécial numéro 2</v>
      </c>
      <c r="E326" s="1091">
        <f t="shared" si="56"/>
        <v>2.66</v>
      </c>
      <c r="F326" s="1128">
        <f t="shared" si="56"/>
        <v>7.6</v>
      </c>
      <c r="G326" s="1044">
        <f>E326/F326</f>
        <v>0.35000000000000003</v>
      </c>
      <c r="H326" s="1092">
        <f>F326-E326</f>
        <v>4.9399999999999995</v>
      </c>
      <c r="I326" s="1087"/>
      <c r="J326" s="1082"/>
      <c r="K326" s="1082"/>
      <c r="L326" s="1096"/>
      <c r="M326" s="1094"/>
      <c r="N326" s="1115"/>
    </row>
    <row r="327" spans="1:14" ht="18" x14ac:dyDescent="0.3">
      <c r="A327" s="1384"/>
      <c r="B327" s="1082">
        <f t="shared" si="57"/>
        <v>15</v>
      </c>
      <c r="C327" s="1082">
        <f t="shared" si="57"/>
        <v>3</v>
      </c>
      <c r="D327" s="1082" t="str">
        <f t="shared" si="56"/>
        <v>Boisson spécial numéro 3</v>
      </c>
      <c r="E327" s="1091">
        <f t="shared" si="56"/>
        <v>2.74</v>
      </c>
      <c r="F327" s="1128">
        <f t="shared" si="56"/>
        <v>8</v>
      </c>
      <c r="G327" s="1044">
        <f>E327/F327</f>
        <v>0.34250000000000003</v>
      </c>
      <c r="H327" s="1092">
        <f>F327-E327</f>
        <v>5.26</v>
      </c>
      <c r="I327" s="1087"/>
      <c r="J327" s="1082"/>
      <c r="K327" s="1082"/>
      <c r="L327" s="1096"/>
      <c r="M327" s="1094"/>
      <c r="N327" s="1115"/>
    </row>
    <row r="328" spans="1:14" ht="18" x14ac:dyDescent="0.3">
      <c r="A328" s="1384"/>
      <c r="B328" s="1082">
        <f t="shared" si="57"/>
        <v>16</v>
      </c>
      <c r="C328" s="1082">
        <f t="shared" si="57"/>
        <v>4</v>
      </c>
      <c r="D328" s="1082" t="str">
        <f t="shared" si="56"/>
        <v>Boisson spécial numéro 4</v>
      </c>
      <c r="E328" s="1091">
        <f t="shared" si="56"/>
        <v>2.72</v>
      </c>
      <c r="F328" s="1128">
        <f t="shared" si="56"/>
        <v>9</v>
      </c>
      <c r="G328" s="1044">
        <f t="shared" ref="G328:G335" si="58">E328/F328</f>
        <v>0.30222222222222223</v>
      </c>
      <c r="H328" s="1092">
        <f t="shared" ref="H328:H335" si="59">F328-E328</f>
        <v>6.2799999999999994</v>
      </c>
      <c r="I328" s="1087"/>
      <c r="J328" s="1082"/>
      <c r="K328" s="1082"/>
      <c r="L328" s="1096"/>
      <c r="M328" s="1094"/>
      <c r="N328" s="1115"/>
    </row>
    <row r="329" spans="1:14" ht="18" x14ac:dyDescent="0.3">
      <c r="A329" s="1384"/>
      <c r="B329" s="1082">
        <f t="shared" si="57"/>
        <v>17</v>
      </c>
      <c r="C329" s="1082">
        <f t="shared" si="57"/>
        <v>5</v>
      </c>
      <c r="D329" s="1082" t="str">
        <f t="shared" si="56"/>
        <v>Boisson spécial numéro 5</v>
      </c>
      <c r="E329" s="1091">
        <f t="shared" si="56"/>
        <v>2.76</v>
      </c>
      <c r="F329" s="1128">
        <f t="shared" si="56"/>
        <v>9.1999999999999993</v>
      </c>
      <c r="G329" s="1044">
        <f t="shared" si="58"/>
        <v>0.3</v>
      </c>
      <c r="H329" s="1092">
        <f t="shared" si="59"/>
        <v>6.4399999999999995</v>
      </c>
      <c r="I329" s="1087"/>
      <c r="J329" s="1082"/>
      <c r="K329" s="1082"/>
      <c r="L329" s="1096"/>
      <c r="M329" s="1094"/>
      <c r="N329" s="1115"/>
    </row>
    <row r="330" spans="1:14" ht="18" x14ac:dyDescent="0.3">
      <c r="A330" s="1384"/>
      <c r="B330" s="1082">
        <f t="shared" si="57"/>
        <v>18</v>
      </c>
      <c r="C330" s="1082">
        <f t="shared" si="57"/>
        <v>6</v>
      </c>
      <c r="D330" s="1082" t="str">
        <f t="shared" si="56"/>
        <v>Boisson spécial numéro 6</v>
      </c>
      <c r="E330" s="1091">
        <f t="shared" si="56"/>
        <v>2.8</v>
      </c>
      <c r="F330" s="1128">
        <f t="shared" si="56"/>
        <v>9.4</v>
      </c>
      <c r="G330" s="1044">
        <f t="shared" si="58"/>
        <v>0.2978723404255319</v>
      </c>
      <c r="H330" s="1092">
        <f t="shared" si="59"/>
        <v>6.6000000000000005</v>
      </c>
      <c r="I330" s="1087"/>
      <c r="J330" s="1082"/>
      <c r="K330" s="1082"/>
      <c r="L330" s="1096"/>
      <c r="M330" s="1094"/>
      <c r="N330" s="1115"/>
    </row>
    <row r="331" spans="1:14" ht="18" x14ac:dyDescent="0.3">
      <c r="A331" s="1384"/>
      <c r="B331" s="1082">
        <f t="shared" si="57"/>
        <v>19</v>
      </c>
      <c r="C331" s="1082">
        <f t="shared" si="57"/>
        <v>7</v>
      </c>
      <c r="D331" s="1082" t="str">
        <f t="shared" si="56"/>
        <v>Boisson spécial numéro 7</v>
      </c>
      <c r="E331" s="1091">
        <f t="shared" si="56"/>
        <v>2.82</v>
      </c>
      <c r="F331" s="1128">
        <f t="shared" si="56"/>
        <v>9.6</v>
      </c>
      <c r="G331" s="1044">
        <f t="shared" si="58"/>
        <v>0.29375000000000001</v>
      </c>
      <c r="H331" s="1092">
        <f t="shared" si="59"/>
        <v>6.7799999999999994</v>
      </c>
      <c r="I331" s="1087"/>
      <c r="J331" s="1082"/>
      <c r="K331" s="1082"/>
      <c r="L331" s="1096"/>
      <c r="M331" s="1094"/>
      <c r="N331" s="1115"/>
    </row>
    <row r="332" spans="1:14" ht="18" x14ac:dyDescent="0.3">
      <c r="A332" s="1384"/>
      <c r="B332" s="1082">
        <f t="shared" si="57"/>
        <v>20</v>
      </c>
      <c r="C332" s="1082">
        <f t="shared" si="57"/>
        <v>8</v>
      </c>
      <c r="D332" s="1082" t="str">
        <f t="shared" si="56"/>
        <v>Boisson spécial numéro 8</v>
      </c>
      <c r="E332" s="1091">
        <f t="shared" si="56"/>
        <v>2.86</v>
      </c>
      <c r="F332" s="1128">
        <f t="shared" si="56"/>
        <v>9.8000000000000007</v>
      </c>
      <c r="G332" s="1044">
        <f t="shared" si="58"/>
        <v>0.2918367346938775</v>
      </c>
      <c r="H332" s="1092">
        <f t="shared" si="59"/>
        <v>6.9400000000000013</v>
      </c>
      <c r="I332" s="1087"/>
      <c r="J332" s="1082"/>
      <c r="K332" s="1082"/>
      <c r="L332" s="1096"/>
      <c r="M332" s="1094"/>
      <c r="N332" s="1115"/>
    </row>
    <row r="333" spans="1:14" ht="18" x14ac:dyDescent="0.3">
      <c r="A333" s="1384"/>
      <c r="B333" s="1082">
        <f t="shared" si="57"/>
        <v>21</v>
      </c>
      <c r="C333" s="1082">
        <f t="shared" si="57"/>
        <v>9</v>
      </c>
      <c r="D333" s="1082" t="str">
        <f t="shared" si="56"/>
        <v>Boisson spécial numéro 9</v>
      </c>
      <c r="E333" s="1091">
        <f t="shared" si="56"/>
        <v>2.9</v>
      </c>
      <c r="F333" s="1128">
        <f t="shared" si="56"/>
        <v>10</v>
      </c>
      <c r="G333" s="1044">
        <f t="shared" si="58"/>
        <v>0.28999999999999998</v>
      </c>
      <c r="H333" s="1092">
        <f t="shared" si="59"/>
        <v>7.1</v>
      </c>
      <c r="I333" s="1087"/>
      <c r="J333" s="1082"/>
      <c r="K333" s="1082"/>
      <c r="L333" s="1096"/>
      <c r="M333" s="1094"/>
      <c r="N333" s="1115"/>
    </row>
    <row r="334" spans="1:14" ht="18" x14ac:dyDescent="0.3">
      <c r="A334" s="1384"/>
      <c r="B334" s="1082">
        <f t="shared" si="57"/>
        <v>22</v>
      </c>
      <c r="C334" s="1082">
        <f t="shared" si="57"/>
        <v>10</v>
      </c>
      <c r="D334" s="1082" t="str">
        <f t="shared" si="56"/>
        <v>Boisson spécial numéro 10</v>
      </c>
      <c r="E334" s="1091">
        <f t="shared" si="56"/>
        <v>2.98</v>
      </c>
      <c r="F334" s="1128">
        <f t="shared" si="56"/>
        <v>10.4</v>
      </c>
      <c r="G334" s="1044">
        <f t="shared" si="58"/>
        <v>0.28653846153846152</v>
      </c>
      <c r="H334" s="1092">
        <f t="shared" si="59"/>
        <v>7.42</v>
      </c>
      <c r="I334" s="1087"/>
      <c r="J334" s="1082"/>
      <c r="K334" s="1082"/>
      <c r="L334" s="1096"/>
      <c r="M334" s="1094"/>
      <c r="N334" s="1115"/>
    </row>
    <row r="335" spans="1:14" ht="18" x14ac:dyDescent="0.3">
      <c r="A335" s="1384"/>
      <c r="B335" s="1082">
        <f t="shared" si="57"/>
        <v>23</v>
      </c>
      <c r="C335" s="1082">
        <f t="shared" si="57"/>
        <v>11</v>
      </c>
      <c r="D335" s="1082" t="str">
        <f t="shared" si="56"/>
        <v>Boisson spécial numéro 11</v>
      </c>
      <c r="E335" s="1091">
        <f t="shared" si="56"/>
        <v>3.18</v>
      </c>
      <c r="F335" s="1128">
        <f t="shared" si="56"/>
        <v>11.6</v>
      </c>
      <c r="G335" s="1044">
        <f t="shared" si="58"/>
        <v>0.27413793103448281</v>
      </c>
      <c r="H335" s="1092">
        <f t="shared" si="59"/>
        <v>8.42</v>
      </c>
      <c r="I335" s="1087"/>
      <c r="J335" s="1082"/>
      <c r="K335" s="1082"/>
      <c r="L335" s="1096"/>
      <c r="M335" s="1094"/>
      <c r="N335" s="1115"/>
    </row>
    <row r="336" spans="1:14" ht="18" x14ac:dyDescent="0.3">
      <c r="A336" s="1384"/>
      <c r="B336" s="1082">
        <f t="shared" si="57"/>
        <v>24</v>
      </c>
      <c r="C336" s="1082">
        <f t="shared" si="57"/>
        <v>12</v>
      </c>
      <c r="D336" s="1082" t="str">
        <f t="shared" si="56"/>
        <v>Boisson spécial numéro 12</v>
      </c>
      <c r="E336" s="1091">
        <f t="shared" si="56"/>
        <v>3.48</v>
      </c>
      <c r="F336" s="1128">
        <f t="shared" si="56"/>
        <v>13.2</v>
      </c>
      <c r="G336" s="1044">
        <f>E336/F336</f>
        <v>0.26363636363636367</v>
      </c>
      <c r="H336" s="1092">
        <f>F336-E336</f>
        <v>9.7199999999999989</v>
      </c>
      <c r="I336" s="1087"/>
      <c r="J336" s="1082"/>
      <c r="K336" s="1082"/>
      <c r="L336" s="1096"/>
      <c r="M336" s="1094"/>
      <c r="N336" s="1115"/>
    </row>
    <row r="337" spans="1:14" ht="19" x14ac:dyDescent="0.35">
      <c r="A337" s="1384"/>
      <c r="B337" s="1082"/>
      <c r="C337" s="1082"/>
      <c r="D337" s="1042" t="str">
        <f t="shared" si="56"/>
        <v>CmO—PmO—Beverage Cost—Marge brute</v>
      </c>
      <c r="E337" s="1046">
        <f>SUM(E325:E336)/C336</f>
        <v>2.8483333333333332</v>
      </c>
      <c r="F337" s="1046">
        <f>SUM(F325:F336)/C336</f>
        <v>9.5333333333333332</v>
      </c>
      <c r="G337" s="1050">
        <f>E337/F337</f>
        <v>0.29877622377622376</v>
      </c>
      <c r="H337" s="1048">
        <f>F337-E337</f>
        <v>6.6850000000000005</v>
      </c>
      <c r="I337" s="1100"/>
      <c r="J337" s="1082"/>
      <c r="K337" s="1082"/>
      <c r="L337" s="1096">
        <f>'Formule pour le calcul D'!AH66</f>
        <v>1.1000000000000001</v>
      </c>
      <c r="M337" s="1094"/>
      <c r="N337" s="1120">
        <f>+L337*M342</f>
        <v>5319.6</v>
      </c>
    </row>
    <row r="338" spans="1:14" ht="19" thickBot="1" x14ac:dyDescent="0.35">
      <c r="A338" s="1384"/>
      <c r="B338" s="1082"/>
      <c r="C338" s="1082"/>
      <c r="D338" s="1082"/>
      <c r="E338" s="1091"/>
      <c r="F338" s="1091"/>
      <c r="G338" s="1043"/>
      <c r="H338" s="1049"/>
      <c r="I338" s="1082"/>
      <c r="J338" s="1082"/>
      <c r="K338" s="1082"/>
      <c r="L338" s="1096"/>
      <c r="M338" s="1094"/>
      <c r="N338" s="1115"/>
    </row>
    <row r="339" spans="1:14" ht="21" thickTop="1" thickBot="1" x14ac:dyDescent="0.4">
      <c r="A339" s="1384"/>
      <c r="B339" s="1082"/>
      <c r="C339" s="1051"/>
      <c r="D339" s="1052"/>
      <c r="E339" s="1102"/>
      <c r="F339" s="1102"/>
      <c r="G339" s="1053"/>
      <c r="H339" s="1103"/>
      <c r="I339" s="1104"/>
      <c r="J339" s="1082"/>
      <c r="K339" s="1082"/>
      <c r="L339" s="1096"/>
      <c r="M339" s="1094"/>
      <c r="N339" s="1115"/>
    </row>
    <row r="340" spans="1:14" ht="20" thickTop="1" thickBot="1" x14ac:dyDescent="0.35">
      <c r="A340" s="1384"/>
      <c r="B340" s="1082"/>
      <c r="C340" s="1055"/>
      <c r="D340" s="1042"/>
      <c r="E340" s="1105" t="str">
        <f>E297</f>
        <v>CmO</v>
      </c>
      <c r="F340" s="1105" t="str">
        <f>F297</f>
        <v>PmO</v>
      </c>
      <c r="G340" s="1056" t="str">
        <f>G297</f>
        <v>F&amp;BCmO</v>
      </c>
      <c r="H340" s="1106" t="str">
        <f>H297</f>
        <v>BmO</v>
      </c>
      <c r="I340" s="1107"/>
      <c r="J340" s="1082"/>
      <c r="K340" s="1082"/>
      <c r="L340" s="1096"/>
      <c r="M340" s="1094"/>
      <c r="N340" s="1115"/>
    </row>
    <row r="341" spans="1:14" ht="19" thickTop="1" x14ac:dyDescent="0.3">
      <c r="A341" s="1384"/>
      <c r="B341" s="1082"/>
      <c r="C341" s="1055"/>
      <c r="D341" s="1057" t="str">
        <f>D298</f>
        <v>OFFRE TOTALE AVEC LES GÂTERIES ET LES CAFÉS GÂTERIES</v>
      </c>
      <c r="E341" s="1091"/>
      <c r="F341" s="1091"/>
      <c r="G341" s="1043"/>
      <c r="H341" s="1049"/>
      <c r="I341" s="1058"/>
      <c r="J341" s="1082"/>
      <c r="K341" s="1082"/>
      <c r="L341" s="1096"/>
      <c r="M341" s="1094"/>
      <c r="N341" s="1115"/>
    </row>
    <row r="342" spans="1:14" ht="19" x14ac:dyDescent="0.35">
      <c r="A342" s="1384"/>
      <c r="B342" s="1082"/>
      <c r="C342" s="1055"/>
      <c r="D342" s="1042" t="str">
        <f>D299</f>
        <v>CmO—PmO—F&amp;B cost moyen offert—Marge brute</v>
      </c>
      <c r="E342" s="1059">
        <f>+(E310+E311+E312+E313+E314+E315+E316+E317+E318+E319+E320+E321+E325+E326+E327+E328+E329+E330+E331+E332+E333+E334+E335+E336)/B336</f>
        <v>2.1649999999999996</v>
      </c>
      <c r="F342" s="1059">
        <f>+(F310+F311+F312+F313+F314+F315+F316+F317+F318+F319+F320+F321+F325+F326+F327+F328+F329+F330+F331+F332+F333+F334+F335+F336)/B336</f>
        <v>7.1749999999999998</v>
      </c>
      <c r="G342" s="1060">
        <f>E342/F342</f>
        <v>0.30174216027874562</v>
      </c>
      <c r="H342" s="1061">
        <f>F342-E342</f>
        <v>5.01</v>
      </c>
      <c r="I342" s="1108"/>
      <c r="J342" s="1082"/>
      <c r="K342" s="1082"/>
      <c r="L342" s="1096">
        <f>L299</f>
        <v>3</v>
      </c>
      <c r="M342" s="1121">
        <f>'% Occupation'!K19</f>
        <v>4836</v>
      </c>
      <c r="N342" s="1120">
        <f>+N322+N337</f>
        <v>15475.2</v>
      </c>
    </row>
    <row r="343" spans="1:14" ht="18" x14ac:dyDescent="0.3">
      <c r="A343" s="1384"/>
      <c r="B343" s="1082"/>
      <c r="C343" s="1055"/>
      <c r="D343" s="1082"/>
      <c r="E343" s="1109"/>
      <c r="F343" s="1109"/>
      <c r="G343" s="1045"/>
      <c r="H343" s="1062"/>
      <c r="I343" s="1063"/>
      <c r="J343" s="1082"/>
      <c r="K343" s="1082"/>
      <c r="L343" s="1096"/>
      <c r="M343" s="1094"/>
      <c r="N343" s="1115"/>
    </row>
    <row r="344" spans="1:14" ht="19" thickBot="1" x14ac:dyDescent="0.35">
      <c r="A344" s="1384"/>
      <c r="B344" s="1082"/>
      <c r="C344" s="1072"/>
      <c r="D344" s="1073"/>
      <c r="E344" s="1110"/>
      <c r="F344" s="1110"/>
      <c r="G344" s="1074"/>
      <c r="H344" s="1075"/>
      <c r="I344" s="1076"/>
      <c r="J344" s="1082"/>
      <c r="K344" s="1082"/>
      <c r="L344" s="1111"/>
      <c r="M344" s="1112"/>
      <c r="N344" s="1116"/>
    </row>
    <row r="345" spans="1:14" ht="17" thickTop="1" x14ac:dyDescent="0.3">
      <c r="A345" s="1384"/>
      <c r="L345" s="1117"/>
      <c r="M345" s="1118"/>
      <c r="N345" s="589"/>
    </row>
    <row r="346" spans="1:14" ht="23" x14ac:dyDescent="0.3">
      <c r="A346" s="1384"/>
      <c r="D346" s="1038" t="s">
        <v>558</v>
      </c>
      <c r="F346" s="1084"/>
      <c r="L346" s="1117"/>
      <c r="M346" s="1118"/>
      <c r="N346" s="589"/>
    </row>
    <row r="347" spans="1:14" ht="24" thickBot="1" x14ac:dyDescent="0.35">
      <c r="A347" s="1384"/>
      <c r="D347" s="1039"/>
      <c r="L347" s="1117"/>
      <c r="M347" s="1118"/>
      <c r="N347" s="589"/>
    </row>
    <row r="348" spans="1:14" ht="23" customHeight="1" thickTop="1" x14ac:dyDescent="0.25">
      <c r="A348" s="1384"/>
      <c r="D348" s="1039"/>
      <c r="E348" s="1378" t="str">
        <f>E305</f>
        <v>Coûts des ressources alimentaires pour chaque produit offert (voir recettes standardisées)</v>
      </c>
      <c r="F348" s="1378" t="str">
        <f>F305</f>
        <v>Prix de vente par produit offert</v>
      </c>
      <c r="G348" s="1378" t="str">
        <f>G305</f>
        <v xml:space="preserve">« Food &amp; Beverage Cost » </v>
      </c>
      <c r="H348" s="1378" t="str">
        <f>H305</f>
        <v>Marge brute gagnée sur la vente de chaque produit offert</v>
      </c>
      <c r="I348" s="1040"/>
      <c r="L348" s="1369" t="s">
        <v>592</v>
      </c>
      <c r="M348" s="1369" t="s">
        <v>593</v>
      </c>
      <c r="N348" s="1369" t="s">
        <v>594</v>
      </c>
    </row>
    <row r="349" spans="1:14" ht="22" x14ac:dyDescent="0.25">
      <c r="A349" s="1384"/>
      <c r="D349" s="1039"/>
      <c r="E349" s="1379"/>
      <c r="F349" s="1381"/>
      <c r="G349" s="1381"/>
      <c r="H349" s="1381"/>
      <c r="I349" s="1041"/>
      <c r="L349" s="1370"/>
      <c r="M349" s="1372"/>
      <c r="N349" s="1370"/>
    </row>
    <row r="350" spans="1:14" ht="14" customHeight="1" thickBot="1" x14ac:dyDescent="0.2">
      <c r="A350" s="1384"/>
      <c r="E350" s="1380"/>
      <c r="F350" s="1382"/>
      <c r="G350" s="1382"/>
      <c r="H350" s="1382"/>
      <c r="I350" s="1041"/>
      <c r="L350" s="1371"/>
      <c r="M350" s="1373"/>
      <c r="N350" s="1371"/>
    </row>
    <row r="351" spans="1:14" ht="18" thickTop="1" thickBot="1" x14ac:dyDescent="0.35">
      <c r="A351" s="1384"/>
      <c r="B351" s="161" t="s">
        <v>2</v>
      </c>
      <c r="E351" s="1084"/>
      <c r="F351" s="1084"/>
      <c r="G351" s="314"/>
      <c r="L351" s="1117"/>
      <c r="M351" s="1118"/>
      <c r="N351" s="589"/>
    </row>
    <row r="352" spans="1:14" ht="19" thickTop="1" x14ac:dyDescent="0.3">
      <c r="A352" s="1384"/>
      <c r="B352" s="1082"/>
      <c r="C352" s="1082"/>
      <c r="D352" s="1042" t="str">
        <f t="shared" ref="D352:F365" si="60">D309</f>
        <v>Les Petite Gâteries</v>
      </c>
      <c r="E352" s="1087"/>
      <c r="F352" s="1087"/>
      <c r="G352" s="1043"/>
      <c r="H352" s="1082"/>
      <c r="I352" s="1082"/>
      <c r="J352" s="1082"/>
      <c r="K352" s="1082"/>
      <c r="L352" s="1088"/>
      <c r="M352" s="1089"/>
      <c r="N352" s="1119"/>
    </row>
    <row r="353" spans="1:14" ht="18" x14ac:dyDescent="0.3">
      <c r="A353" s="1384"/>
      <c r="B353" s="1082">
        <f t="shared" ref="B353:C364" si="61">B310</f>
        <v>1</v>
      </c>
      <c r="C353" s="1082">
        <f t="shared" si="61"/>
        <v>1</v>
      </c>
      <c r="D353" s="1082" t="str">
        <f t="shared" si="60"/>
        <v>Petite Gâterie 1</v>
      </c>
      <c r="E353" s="1091">
        <f t="shared" si="60"/>
        <v>1.21</v>
      </c>
      <c r="F353" s="1128">
        <f t="shared" si="60"/>
        <v>3.3</v>
      </c>
      <c r="G353" s="1044">
        <f t="shared" ref="G353:G365" si="62">E353/F353</f>
        <v>0.3666666666666667</v>
      </c>
      <c r="H353" s="1092">
        <f t="shared" ref="H353:H365" si="63">F353-E353</f>
        <v>2.09</v>
      </c>
      <c r="I353" s="1087"/>
      <c r="J353" s="1082"/>
      <c r="K353" s="1082"/>
      <c r="L353" s="1093"/>
      <c r="M353" s="1094"/>
      <c r="N353" s="1115"/>
    </row>
    <row r="354" spans="1:14" ht="18" x14ac:dyDescent="0.3">
      <c r="A354" s="1384"/>
      <c r="B354" s="1082">
        <f t="shared" si="61"/>
        <v>2</v>
      </c>
      <c r="C354" s="1082">
        <f t="shared" si="61"/>
        <v>2</v>
      </c>
      <c r="D354" s="1082" t="str">
        <f t="shared" si="60"/>
        <v>Petite Gâterie 2</v>
      </c>
      <c r="E354" s="1091">
        <f t="shared" si="60"/>
        <v>1.31</v>
      </c>
      <c r="F354" s="1128">
        <f t="shared" si="60"/>
        <v>3.8</v>
      </c>
      <c r="G354" s="1044">
        <f t="shared" si="62"/>
        <v>0.34473684210526317</v>
      </c>
      <c r="H354" s="1092">
        <f t="shared" si="63"/>
        <v>2.4899999999999998</v>
      </c>
      <c r="I354" s="1087"/>
      <c r="J354" s="1082"/>
      <c r="K354" s="1082"/>
      <c r="L354" s="1096"/>
      <c r="M354" s="1094"/>
      <c r="N354" s="1115"/>
    </row>
    <row r="355" spans="1:14" ht="18" x14ac:dyDescent="0.3">
      <c r="A355" s="1384"/>
      <c r="B355" s="1082">
        <f t="shared" si="61"/>
        <v>3</v>
      </c>
      <c r="C355" s="1082">
        <f t="shared" si="61"/>
        <v>3</v>
      </c>
      <c r="D355" s="1082" t="str">
        <f t="shared" si="60"/>
        <v>Petite Gâterie 3</v>
      </c>
      <c r="E355" s="1091">
        <f t="shared" si="60"/>
        <v>1.35</v>
      </c>
      <c r="F355" s="1128">
        <f t="shared" si="60"/>
        <v>4</v>
      </c>
      <c r="G355" s="1044">
        <f t="shared" si="62"/>
        <v>0.33750000000000002</v>
      </c>
      <c r="H355" s="1092">
        <f t="shared" si="63"/>
        <v>2.65</v>
      </c>
      <c r="I355" s="1087"/>
      <c r="J355" s="1082"/>
      <c r="K355" s="1082"/>
      <c r="L355" s="1096"/>
      <c r="M355" s="1094"/>
      <c r="N355" s="1115"/>
    </row>
    <row r="356" spans="1:14" ht="18" x14ac:dyDescent="0.3">
      <c r="A356" s="1384"/>
      <c r="B356" s="1082">
        <f t="shared" si="61"/>
        <v>4</v>
      </c>
      <c r="C356" s="1082">
        <f t="shared" si="61"/>
        <v>4</v>
      </c>
      <c r="D356" s="1082" t="str">
        <f t="shared" si="60"/>
        <v>Petite Gâterie 4</v>
      </c>
      <c r="E356" s="1091">
        <f t="shared" si="60"/>
        <v>1.4</v>
      </c>
      <c r="F356" s="1128">
        <f t="shared" si="60"/>
        <v>4.5</v>
      </c>
      <c r="G356" s="1044">
        <f t="shared" si="62"/>
        <v>0.31111111111111112</v>
      </c>
      <c r="H356" s="1092">
        <f t="shared" si="63"/>
        <v>3.1</v>
      </c>
      <c r="I356" s="1087"/>
      <c r="J356" s="1082"/>
      <c r="K356" s="1082"/>
      <c r="L356" s="1096"/>
      <c r="M356" s="1094"/>
      <c r="N356" s="1115"/>
    </row>
    <row r="357" spans="1:14" ht="18" x14ac:dyDescent="0.3">
      <c r="A357" s="1384"/>
      <c r="B357" s="1082">
        <f t="shared" si="61"/>
        <v>5</v>
      </c>
      <c r="C357" s="1082">
        <f t="shared" si="61"/>
        <v>5</v>
      </c>
      <c r="D357" s="1082" t="str">
        <f t="shared" si="60"/>
        <v>Petite Gâterie 5</v>
      </c>
      <c r="E357" s="1091">
        <f t="shared" si="60"/>
        <v>1.24</v>
      </c>
      <c r="F357" s="1128">
        <f t="shared" si="60"/>
        <v>4.5999999999999996</v>
      </c>
      <c r="G357" s="1044">
        <f t="shared" si="62"/>
        <v>0.26956521739130435</v>
      </c>
      <c r="H357" s="1092">
        <f t="shared" si="63"/>
        <v>3.3599999999999994</v>
      </c>
      <c r="I357" s="1087"/>
      <c r="J357" s="1082"/>
      <c r="K357" s="1082"/>
      <c r="L357" s="1096"/>
      <c r="M357" s="1094"/>
      <c r="N357" s="1115"/>
    </row>
    <row r="358" spans="1:14" ht="18" x14ac:dyDescent="0.3">
      <c r="A358" s="1384"/>
      <c r="B358" s="1082">
        <f t="shared" si="61"/>
        <v>6</v>
      </c>
      <c r="C358" s="1082">
        <f t="shared" si="61"/>
        <v>6</v>
      </c>
      <c r="D358" s="1082" t="str">
        <f t="shared" si="60"/>
        <v>Petite Gâterie 6</v>
      </c>
      <c r="E358" s="1091">
        <f t="shared" si="60"/>
        <v>1.39</v>
      </c>
      <c r="F358" s="1128">
        <f t="shared" si="60"/>
        <v>4.7</v>
      </c>
      <c r="G358" s="1044">
        <f t="shared" si="62"/>
        <v>0.29574468085106381</v>
      </c>
      <c r="H358" s="1092">
        <f t="shared" si="63"/>
        <v>3.3100000000000005</v>
      </c>
      <c r="I358" s="1087"/>
      <c r="J358" s="1082"/>
      <c r="K358" s="1082"/>
      <c r="L358" s="1096"/>
      <c r="M358" s="1094"/>
      <c r="N358" s="1115"/>
    </row>
    <row r="359" spans="1:14" ht="18" x14ac:dyDescent="0.3">
      <c r="A359" s="1384"/>
      <c r="B359" s="1082">
        <f t="shared" si="61"/>
        <v>7</v>
      </c>
      <c r="C359" s="1082">
        <f t="shared" si="61"/>
        <v>7</v>
      </c>
      <c r="D359" s="1082" t="str">
        <f t="shared" si="60"/>
        <v>Petite Gâterie 7</v>
      </c>
      <c r="E359" s="1091">
        <f t="shared" si="60"/>
        <v>1.51</v>
      </c>
      <c r="F359" s="1128">
        <f t="shared" si="60"/>
        <v>4.8</v>
      </c>
      <c r="G359" s="1044">
        <f t="shared" si="62"/>
        <v>0.31458333333333333</v>
      </c>
      <c r="H359" s="1092">
        <f t="shared" si="63"/>
        <v>3.29</v>
      </c>
      <c r="I359" s="1087"/>
      <c r="J359" s="1082"/>
      <c r="K359" s="1082"/>
      <c r="L359" s="1096"/>
      <c r="M359" s="1094"/>
      <c r="N359" s="1115"/>
    </row>
    <row r="360" spans="1:14" ht="18" x14ac:dyDescent="0.3">
      <c r="A360" s="1384"/>
      <c r="B360" s="1082">
        <f t="shared" si="61"/>
        <v>8</v>
      </c>
      <c r="C360" s="1082">
        <f t="shared" si="61"/>
        <v>8</v>
      </c>
      <c r="D360" s="1082" t="str">
        <f t="shared" si="60"/>
        <v>Petite Gâterie 8</v>
      </c>
      <c r="E360" s="1091">
        <f t="shared" si="60"/>
        <v>1.53</v>
      </c>
      <c r="F360" s="1128">
        <f t="shared" si="60"/>
        <v>4.9000000000000004</v>
      </c>
      <c r="G360" s="1044">
        <f t="shared" si="62"/>
        <v>0.31224489795918364</v>
      </c>
      <c r="H360" s="1092">
        <f t="shared" si="63"/>
        <v>3.37</v>
      </c>
      <c r="I360" s="1087"/>
      <c r="J360" s="1082"/>
      <c r="K360" s="1082"/>
      <c r="L360" s="1096"/>
      <c r="M360" s="1094"/>
      <c r="N360" s="1115"/>
    </row>
    <row r="361" spans="1:14" ht="18" x14ac:dyDescent="0.3">
      <c r="A361" s="1384"/>
      <c r="B361" s="1082">
        <f t="shared" si="61"/>
        <v>9</v>
      </c>
      <c r="C361" s="1082">
        <f t="shared" si="61"/>
        <v>9</v>
      </c>
      <c r="D361" s="1082" t="str">
        <f t="shared" si="60"/>
        <v>Petite Gâterie 9</v>
      </c>
      <c r="E361" s="1091">
        <f t="shared" si="60"/>
        <v>1.55</v>
      </c>
      <c r="F361" s="1128">
        <f t="shared" si="60"/>
        <v>5</v>
      </c>
      <c r="G361" s="1044">
        <f t="shared" si="62"/>
        <v>0.31</v>
      </c>
      <c r="H361" s="1092">
        <f t="shared" si="63"/>
        <v>3.45</v>
      </c>
      <c r="I361" s="1087"/>
      <c r="J361" s="1082"/>
      <c r="K361" s="1082"/>
      <c r="L361" s="1096"/>
      <c r="M361" s="1094"/>
      <c r="N361" s="1115"/>
    </row>
    <row r="362" spans="1:14" ht="18" x14ac:dyDescent="0.3">
      <c r="A362" s="1384"/>
      <c r="B362" s="1082">
        <f t="shared" si="61"/>
        <v>10</v>
      </c>
      <c r="C362" s="1082">
        <f t="shared" si="61"/>
        <v>10</v>
      </c>
      <c r="D362" s="1082" t="str">
        <f t="shared" si="60"/>
        <v>Petite Gâterie 10</v>
      </c>
      <c r="E362" s="1091">
        <f t="shared" si="60"/>
        <v>1.59</v>
      </c>
      <c r="F362" s="1128">
        <f t="shared" si="60"/>
        <v>5.2</v>
      </c>
      <c r="G362" s="1044">
        <f t="shared" si="62"/>
        <v>0.30576923076923079</v>
      </c>
      <c r="H362" s="1092">
        <f t="shared" si="63"/>
        <v>3.6100000000000003</v>
      </c>
      <c r="I362" s="1087"/>
      <c r="J362" s="1082"/>
      <c r="K362" s="1082"/>
      <c r="L362" s="1096"/>
      <c r="M362" s="1094"/>
      <c r="N362" s="1115"/>
    </row>
    <row r="363" spans="1:14" ht="18" x14ac:dyDescent="0.3">
      <c r="A363" s="1384"/>
      <c r="B363" s="1082">
        <f t="shared" si="61"/>
        <v>11</v>
      </c>
      <c r="C363" s="1082">
        <f t="shared" si="61"/>
        <v>11</v>
      </c>
      <c r="D363" s="1082" t="str">
        <f t="shared" si="60"/>
        <v>Petite Gâterie 11</v>
      </c>
      <c r="E363" s="1091">
        <f t="shared" si="60"/>
        <v>1.83</v>
      </c>
      <c r="F363" s="1128">
        <f t="shared" si="60"/>
        <v>6.4</v>
      </c>
      <c r="G363" s="1044">
        <f t="shared" si="62"/>
        <v>0.28593750000000001</v>
      </c>
      <c r="H363" s="1092">
        <f t="shared" si="63"/>
        <v>4.57</v>
      </c>
      <c r="I363" s="1087"/>
      <c r="J363" s="1082"/>
      <c r="K363" s="1082"/>
      <c r="L363" s="1096"/>
      <c r="M363" s="1094"/>
      <c r="N363" s="1115"/>
    </row>
    <row r="364" spans="1:14" ht="18" x14ac:dyDescent="0.3">
      <c r="A364" s="1384"/>
      <c r="B364" s="1082">
        <f t="shared" si="61"/>
        <v>12</v>
      </c>
      <c r="C364" s="1082">
        <f t="shared" si="61"/>
        <v>12</v>
      </c>
      <c r="D364" s="1082" t="str">
        <f t="shared" si="60"/>
        <v>Petite Gâterie 12</v>
      </c>
      <c r="E364" s="1091">
        <f t="shared" si="60"/>
        <v>1.87</v>
      </c>
      <c r="F364" s="1128">
        <f t="shared" si="60"/>
        <v>6.6</v>
      </c>
      <c r="G364" s="1044">
        <f t="shared" si="62"/>
        <v>0.28333333333333338</v>
      </c>
      <c r="H364" s="1092">
        <f t="shared" si="63"/>
        <v>4.7299999999999995</v>
      </c>
      <c r="I364" s="1087"/>
      <c r="J364" s="1082"/>
      <c r="K364" s="1082"/>
      <c r="L364" s="1096"/>
      <c r="M364" s="1094"/>
      <c r="N364" s="1115"/>
    </row>
    <row r="365" spans="1:14" ht="19" x14ac:dyDescent="0.35">
      <c r="A365" s="1384"/>
      <c r="B365" s="1082"/>
      <c r="C365" s="1082"/>
      <c r="D365" s="1042" t="str">
        <f t="shared" si="60"/>
        <v>CmO—PmO—Food Cost—BmO</v>
      </c>
      <c r="E365" s="1046">
        <f>SUM(E353:E364)/C364</f>
        <v>1.4816666666666667</v>
      </c>
      <c r="F365" s="1046">
        <f>SUM(F353:F364)/C364</f>
        <v>4.8166666666666673</v>
      </c>
      <c r="G365" s="1047">
        <f t="shared" si="62"/>
        <v>0.30761245674740478</v>
      </c>
      <c r="H365" s="1048">
        <f t="shared" si="63"/>
        <v>3.3350000000000009</v>
      </c>
      <c r="I365" s="1100"/>
      <c r="J365" s="1082"/>
      <c r="K365" s="1082"/>
      <c r="L365" s="1101">
        <f>'Formule pour le calcul D'!V74</f>
        <v>2.1</v>
      </c>
      <c r="M365" s="1094"/>
      <c r="N365" s="1120">
        <f>+L365*M385</f>
        <v>9286.2000000000007</v>
      </c>
    </row>
    <row r="366" spans="1:14" ht="18" x14ac:dyDescent="0.3">
      <c r="A366" s="1384"/>
      <c r="B366" s="1082" t="s">
        <v>2</v>
      </c>
      <c r="C366" s="1082"/>
      <c r="D366" s="1082"/>
      <c r="E366" s="1091"/>
      <c r="F366" s="1091"/>
      <c r="G366" s="1044"/>
      <c r="H366" s="1049"/>
      <c r="I366" s="1082"/>
      <c r="J366" s="1082"/>
      <c r="K366" s="1082"/>
      <c r="L366" s="1096"/>
      <c r="M366" s="1094"/>
      <c r="N366" s="1115"/>
    </row>
    <row r="367" spans="1:14" ht="18" x14ac:dyDescent="0.3">
      <c r="A367" s="1384"/>
      <c r="B367" s="1082"/>
      <c r="C367" s="1082"/>
      <c r="D367" s="1042" t="str">
        <f t="shared" ref="D367:F380" si="64">D324</f>
        <v>Les Boissons  Gâteries</v>
      </c>
      <c r="E367" s="1091"/>
      <c r="F367" s="1091"/>
      <c r="G367" s="1044"/>
      <c r="H367" s="1049"/>
      <c r="I367" s="1082"/>
      <c r="J367" s="1082"/>
      <c r="K367" s="1082"/>
      <c r="L367" s="1096"/>
      <c r="M367" s="1094"/>
      <c r="N367" s="1115"/>
    </row>
    <row r="368" spans="1:14" ht="18" x14ac:dyDescent="0.3">
      <c r="A368" s="1384"/>
      <c r="B368" s="1082">
        <f t="shared" ref="B368:C379" si="65">B325</f>
        <v>13</v>
      </c>
      <c r="C368" s="1082">
        <f t="shared" si="65"/>
        <v>1</v>
      </c>
      <c r="D368" s="1082" t="str">
        <f t="shared" si="64"/>
        <v>Boisson spécial numéro 1</v>
      </c>
      <c r="E368" s="1091">
        <f t="shared" si="64"/>
        <v>2.2799999999999998</v>
      </c>
      <c r="F368" s="1128">
        <f t="shared" si="64"/>
        <v>6.6</v>
      </c>
      <c r="G368" s="1044">
        <f>E368/F368</f>
        <v>0.34545454545454546</v>
      </c>
      <c r="H368" s="1092">
        <f>F368-E368</f>
        <v>4.32</v>
      </c>
      <c r="I368" s="1087"/>
      <c r="J368" s="1082"/>
      <c r="K368" s="1082"/>
      <c r="L368" s="1096"/>
      <c r="M368" s="1094"/>
      <c r="N368" s="1115"/>
    </row>
    <row r="369" spans="1:14" ht="18" x14ac:dyDescent="0.3">
      <c r="A369" s="1384"/>
      <c r="B369" s="1082">
        <f t="shared" si="65"/>
        <v>14</v>
      </c>
      <c r="C369" s="1082">
        <f t="shared" si="65"/>
        <v>2</v>
      </c>
      <c r="D369" s="1082" t="str">
        <f t="shared" si="64"/>
        <v>Boisson spécial numéro 2</v>
      </c>
      <c r="E369" s="1091">
        <f t="shared" si="64"/>
        <v>2.66</v>
      </c>
      <c r="F369" s="1128">
        <f t="shared" si="64"/>
        <v>7.6</v>
      </c>
      <c r="G369" s="1044">
        <f>E369/F369</f>
        <v>0.35000000000000003</v>
      </c>
      <c r="H369" s="1092">
        <f>F369-E369</f>
        <v>4.9399999999999995</v>
      </c>
      <c r="I369" s="1087"/>
      <c r="J369" s="1082"/>
      <c r="K369" s="1082"/>
      <c r="L369" s="1096"/>
      <c r="M369" s="1094"/>
      <c r="N369" s="1115"/>
    </row>
    <row r="370" spans="1:14" ht="18" x14ac:dyDescent="0.3">
      <c r="A370" s="1384"/>
      <c r="B370" s="1082">
        <f t="shared" si="65"/>
        <v>15</v>
      </c>
      <c r="C370" s="1082">
        <f t="shared" si="65"/>
        <v>3</v>
      </c>
      <c r="D370" s="1082" t="str">
        <f t="shared" si="64"/>
        <v>Boisson spécial numéro 3</v>
      </c>
      <c r="E370" s="1091">
        <f t="shared" si="64"/>
        <v>2.74</v>
      </c>
      <c r="F370" s="1128">
        <f t="shared" si="64"/>
        <v>8</v>
      </c>
      <c r="G370" s="1044">
        <f>E370/F370</f>
        <v>0.34250000000000003</v>
      </c>
      <c r="H370" s="1092">
        <f>F370-E370</f>
        <v>5.26</v>
      </c>
      <c r="I370" s="1087"/>
      <c r="J370" s="1082"/>
      <c r="K370" s="1082"/>
      <c r="L370" s="1096"/>
      <c r="M370" s="1094"/>
      <c r="N370" s="1115"/>
    </row>
    <row r="371" spans="1:14" ht="18" x14ac:dyDescent="0.3">
      <c r="A371" s="1384"/>
      <c r="B371" s="1082">
        <f t="shared" si="65"/>
        <v>16</v>
      </c>
      <c r="C371" s="1082">
        <f t="shared" si="65"/>
        <v>4</v>
      </c>
      <c r="D371" s="1082" t="str">
        <f t="shared" si="64"/>
        <v>Boisson spécial numéro 4</v>
      </c>
      <c r="E371" s="1091">
        <f t="shared" si="64"/>
        <v>2.72</v>
      </c>
      <c r="F371" s="1128">
        <f t="shared" si="64"/>
        <v>9</v>
      </c>
      <c r="G371" s="1044">
        <f t="shared" ref="G371:G378" si="66">E371/F371</f>
        <v>0.30222222222222223</v>
      </c>
      <c r="H371" s="1092">
        <f t="shared" ref="H371:H378" si="67">F371-E371</f>
        <v>6.2799999999999994</v>
      </c>
      <c r="I371" s="1087"/>
      <c r="J371" s="1082"/>
      <c r="K371" s="1082"/>
      <c r="L371" s="1096"/>
      <c r="M371" s="1094"/>
      <c r="N371" s="1115"/>
    </row>
    <row r="372" spans="1:14" ht="18" x14ac:dyDescent="0.3">
      <c r="A372" s="1384"/>
      <c r="B372" s="1082">
        <f t="shared" si="65"/>
        <v>17</v>
      </c>
      <c r="C372" s="1082">
        <f t="shared" si="65"/>
        <v>5</v>
      </c>
      <c r="D372" s="1082" t="str">
        <f t="shared" si="64"/>
        <v>Boisson spécial numéro 5</v>
      </c>
      <c r="E372" s="1091">
        <f t="shared" si="64"/>
        <v>2.76</v>
      </c>
      <c r="F372" s="1128">
        <f t="shared" si="64"/>
        <v>9.1999999999999993</v>
      </c>
      <c r="G372" s="1044">
        <f t="shared" si="66"/>
        <v>0.3</v>
      </c>
      <c r="H372" s="1092">
        <f t="shared" si="67"/>
        <v>6.4399999999999995</v>
      </c>
      <c r="I372" s="1087"/>
      <c r="J372" s="1082"/>
      <c r="K372" s="1082"/>
      <c r="L372" s="1096"/>
      <c r="M372" s="1094"/>
      <c r="N372" s="1115"/>
    </row>
    <row r="373" spans="1:14" ht="18" x14ac:dyDescent="0.3">
      <c r="A373" s="1384"/>
      <c r="B373" s="1082">
        <f t="shared" si="65"/>
        <v>18</v>
      </c>
      <c r="C373" s="1082">
        <f t="shared" si="65"/>
        <v>6</v>
      </c>
      <c r="D373" s="1082" t="str">
        <f t="shared" si="64"/>
        <v>Boisson spécial numéro 6</v>
      </c>
      <c r="E373" s="1091">
        <f t="shared" si="64"/>
        <v>2.8</v>
      </c>
      <c r="F373" s="1128">
        <f t="shared" si="64"/>
        <v>9.4</v>
      </c>
      <c r="G373" s="1044">
        <f t="shared" si="66"/>
        <v>0.2978723404255319</v>
      </c>
      <c r="H373" s="1092">
        <f t="shared" si="67"/>
        <v>6.6000000000000005</v>
      </c>
      <c r="I373" s="1087"/>
      <c r="J373" s="1082"/>
      <c r="K373" s="1082"/>
      <c r="L373" s="1096"/>
      <c r="M373" s="1094"/>
      <c r="N373" s="1115"/>
    </row>
    <row r="374" spans="1:14" ht="18" x14ac:dyDescent="0.3">
      <c r="A374" s="1384"/>
      <c r="B374" s="1082">
        <f t="shared" si="65"/>
        <v>19</v>
      </c>
      <c r="C374" s="1082">
        <f t="shared" si="65"/>
        <v>7</v>
      </c>
      <c r="D374" s="1082" t="str">
        <f t="shared" si="64"/>
        <v>Boisson spécial numéro 7</v>
      </c>
      <c r="E374" s="1091">
        <f t="shared" si="64"/>
        <v>2.82</v>
      </c>
      <c r="F374" s="1128">
        <f t="shared" si="64"/>
        <v>9.6</v>
      </c>
      <c r="G374" s="1044">
        <f t="shared" si="66"/>
        <v>0.29375000000000001</v>
      </c>
      <c r="H374" s="1092">
        <f t="shared" si="67"/>
        <v>6.7799999999999994</v>
      </c>
      <c r="I374" s="1087"/>
      <c r="J374" s="1082"/>
      <c r="K374" s="1082"/>
      <c r="L374" s="1096"/>
      <c r="M374" s="1094"/>
      <c r="N374" s="1115"/>
    </row>
    <row r="375" spans="1:14" ht="18" x14ac:dyDescent="0.3">
      <c r="A375" s="1384"/>
      <c r="B375" s="1082">
        <f t="shared" si="65"/>
        <v>20</v>
      </c>
      <c r="C375" s="1082">
        <f t="shared" si="65"/>
        <v>8</v>
      </c>
      <c r="D375" s="1082" t="str">
        <f t="shared" si="64"/>
        <v>Boisson spécial numéro 8</v>
      </c>
      <c r="E375" s="1091">
        <f t="shared" si="64"/>
        <v>2.86</v>
      </c>
      <c r="F375" s="1128">
        <f t="shared" si="64"/>
        <v>9.8000000000000007</v>
      </c>
      <c r="G375" s="1044">
        <f t="shared" si="66"/>
        <v>0.2918367346938775</v>
      </c>
      <c r="H375" s="1092">
        <f t="shared" si="67"/>
        <v>6.9400000000000013</v>
      </c>
      <c r="I375" s="1087"/>
      <c r="J375" s="1082"/>
      <c r="K375" s="1082"/>
      <c r="L375" s="1096"/>
      <c r="M375" s="1094"/>
      <c r="N375" s="1115"/>
    </row>
    <row r="376" spans="1:14" ht="18" x14ac:dyDescent="0.3">
      <c r="A376" s="1384"/>
      <c r="B376" s="1082">
        <f t="shared" si="65"/>
        <v>21</v>
      </c>
      <c r="C376" s="1082">
        <f t="shared" si="65"/>
        <v>9</v>
      </c>
      <c r="D376" s="1082" t="str">
        <f t="shared" si="64"/>
        <v>Boisson spécial numéro 9</v>
      </c>
      <c r="E376" s="1091">
        <f t="shared" si="64"/>
        <v>2.9</v>
      </c>
      <c r="F376" s="1128">
        <f t="shared" si="64"/>
        <v>10</v>
      </c>
      <c r="G376" s="1044">
        <f t="shared" si="66"/>
        <v>0.28999999999999998</v>
      </c>
      <c r="H376" s="1092">
        <f t="shared" si="67"/>
        <v>7.1</v>
      </c>
      <c r="I376" s="1087"/>
      <c r="J376" s="1082"/>
      <c r="K376" s="1082"/>
      <c r="L376" s="1096"/>
      <c r="M376" s="1094"/>
      <c r="N376" s="1115"/>
    </row>
    <row r="377" spans="1:14" ht="18" x14ac:dyDescent="0.3">
      <c r="A377" s="1384"/>
      <c r="B377" s="1082">
        <f t="shared" si="65"/>
        <v>22</v>
      </c>
      <c r="C377" s="1082">
        <f t="shared" si="65"/>
        <v>10</v>
      </c>
      <c r="D377" s="1082" t="str">
        <f t="shared" si="64"/>
        <v>Boisson spécial numéro 10</v>
      </c>
      <c r="E377" s="1091">
        <f t="shared" si="64"/>
        <v>2.98</v>
      </c>
      <c r="F377" s="1128">
        <f t="shared" si="64"/>
        <v>10.4</v>
      </c>
      <c r="G377" s="1044">
        <f t="shared" si="66"/>
        <v>0.28653846153846152</v>
      </c>
      <c r="H377" s="1092">
        <f t="shared" si="67"/>
        <v>7.42</v>
      </c>
      <c r="I377" s="1087"/>
      <c r="J377" s="1082"/>
      <c r="K377" s="1082"/>
      <c r="L377" s="1096"/>
      <c r="M377" s="1094"/>
      <c r="N377" s="1115"/>
    </row>
    <row r="378" spans="1:14" ht="18" x14ac:dyDescent="0.3">
      <c r="A378" s="1384"/>
      <c r="B378" s="1082">
        <f t="shared" si="65"/>
        <v>23</v>
      </c>
      <c r="C378" s="1082">
        <f t="shared" si="65"/>
        <v>11</v>
      </c>
      <c r="D378" s="1082" t="str">
        <f t="shared" si="64"/>
        <v>Boisson spécial numéro 11</v>
      </c>
      <c r="E378" s="1091">
        <f t="shared" si="64"/>
        <v>3.18</v>
      </c>
      <c r="F378" s="1128">
        <f t="shared" si="64"/>
        <v>11.6</v>
      </c>
      <c r="G378" s="1044">
        <f t="shared" si="66"/>
        <v>0.27413793103448281</v>
      </c>
      <c r="H378" s="1092">
        <f t="shared" si="67"/>
        <v>8.42</v>
      </c>
      <c r="I378" s="1087"/>
      <c r="J378" s="1082"/>
      <c r="K378" s="1082"/>
      <c r="L378" s="1096"/>
      <c r="M378" s="1094"/>
      <c r="N378" s="1115"/>
    </row>
    <row r="379" spans="1:14" ht="18" x14ac:dyDescent="0.3">
      <c r="A379" s="1384"/>
      <c r="B379" s="1082">
        <f t="shared" si="65"/>
        <v>24</v>
      </c>
      <c r="C379" s="1082">
        <f t="shared" si="65"/>
        <v>12</v>
      </c>
      <c r="D379" s="1082" t="str">
        <f t="shared" si="64"/>
        <v>Boisson spécial numéro 12</v>
      </c>
      <c r="E379" s="1091">
        <f t="shared" si="64"/>
        <v>3.48</v>
      </c>
      <c r="F379" s="1128">
        <f t="shared" si="64"/>
        <v>13.2</v>
      </c>
      <c r="G379" s="1044">
        <f>E379/F379</f>
        <v>0.26363636363636367</v>
      </c>
      <c r="H379" s="1092">
        <f>F379-E379</f>
        <v>9.7199999999999989</v>
      </c>
      <c r="I379" s="1087"/>
      <c r="J379" s="1082"/>
      <c r="K379" s="1082"/>
      <c r="L379" s="1096"/>
      <c r="M379" s="1094"/>
      <c r="N379" s="1115"/>
    </row>
    <row r="380" spans="1:14" ht="19" x14ac:dyDescent="0.35">
      <c r="A380" s="1384"/>
      <c r="B380" s="1082"/>
      <c r="C380" s="1082"/>
      <c r="D380" s="1042" t="str">
        <f t="shared" si="64"/>
        <v>CmO—PmO—Beverage Cost—Marge brute</v>
      </c>
      <c r="E380" s="1046">
        <f>SUM(E368:E379)/C379</f>
        <v>2.8483333333333332</v>
      </c>
      <c r="F380" s="1046">
        <f>SUM(F368:F379)/C379</f>
        <v>9.5333333333333332</v>
      </c>
      <c r="G380" s="1050">
        <f>E380/F380</f>
        <v>0.29877622377622376</v>
      </c>
      <c r="H380" s="1048">
        <f>F380-E380</f>
        <v>6.6850000000000005</v>
      </c>
      <c r="I380" s="1100"/>
      <c r="J380" s="1082"/>
      <c r="K380" s="1082"/>
      <c r="L380" s="1096">
        <f>'Formule pour le calcul D'!AH74</f>
        <v>1.1000000000000001</v>
      </c>
      <c r="M380" s="1094"/>
      <c r="N380" s="1120">
        <f>+L380*M385</f>
        <v>4864.2000000000007</v>
      </c>
    </row>
    <row r="381" spans="1:14" ht="19" thickBot="1" x14ac:dyDescent="0.35">
      <c r="A381" s="1384"/>
      <c r="B381" s="1082"/>
      <c r="C381" s="1082"/>
      <c r="D381" s="1082"/>
      <c r="E381" s="1091"/>
      <c r="F381" s="1091"/>
      <c r="G381" s="1043"/>
      <c r="H381" s="1049"/>
      <c r="I381" s="1082"/>
      <c r="J381" s="1082"/>
      <c r="K381" s="1082"/>
      <c r="L381" s="1096"/>
      <c r="M381" s="1094"/>
      <c r="N381" s="1115"/>
    </row>
    <row r="382" spans="1:14" ht="21" thickTop="1" thickBot="1" x14ac:dyDescent="0.4">
      <c r="A382" s="1384"/>
      <c r="B382" s="1082"/>
      <c r="C382" s="1051"/>
      <c r="D382" s="1052"/>
      <c r="E382" s="1102"/>
      <c r="F382" s="1102"/>
      <c r="G382" s="1053"/>
      <c r="H382" s="1103"/>
      <c r="I382" s="1104"/>
      <c r="J382" s="1082"/>
      <c r="K382" s="1082"/>
      <c r="L382" s="1096"/>
      <c r="M382" s="1094"/>
      <c r="N382" s="1115"/>
    </row>
    <row r="383" spans="1:14" ht="20" thickTop="1" thickBot="1" x14ac:dyDescent="0.35">
      <c r="A383" s="1384"/>
      <c r="B383" s="1082"/>
      <c r="C383" s="1055"/>
      <c r="D383" s="1042"/>
      <c r="E383" s="1105" t="str">
        <f>E340</f>
        <v>CmO</v>
      </c>
      <c r="F383" s="1105" t="str">
        <f>F340</f>
        <v>PmO</v>
      </c>
      <c r="G383" s="1056" t="str">
        <f>G340</f>
        <v>F&amp;BCmO</v>
      </c>
      <c r="H383" s="1106" t="str">
        <f>H340</f>
        <v>BmO</v>
      </c>
      <c r="I383" s="1107"/>
      <c r="J383" s="1082"/>
      <c r="K383" s="1082"/>
      <c r="L383" s="1096"/>
      <c r="M383" s="1094"/>
      <c r="N383" s="1115"/>
    </row>
    <row r="384" spans="1:14" ht="19" thickTop="1" x14ac:dyDescent="0.3">
      <c r="A384" s="1384"/>
      <c r="B384" s="1082"/>
      <c r="C384" s="1055"/>
      <c r="D384" s="1057" t="str">
        <f>D341</f>
        <v>OFFRE TOTALE AVEC LES GÂTERIES ET LES CAFÉS GÂTERIES</v>
      </c>
      <c r="E384" s="1091"/>
      <c r="F384" s="1091"/>
      <c r="G384" s="1043"/>
      <c r="H384" s="1049"/>
      <c r="I384" s="1058"/>
      <c r="J384" s="1082"/>
      <c r="K384" s="1082"/>
      <c r="L384" s="1096"/>
      <c r="M384" s="1094"/>
      <c r="N384" s="1115"/>
    </row>
    <row r="385" spans="1:14" ht="19" x14ac:dyDescent="0.35">
      <c r="A385" s="1384"/>
      <c r="B385" s="1082"/>
      <c r="C385" s="1055"/>
      <c r="D385" s="1042" t="str">
        <f>D342</f>
        <v>CmO—PmO—F&amp;B cost moyen offert—Marge brute</v>
      </c>
      <c r="E385" s="1059">
        <f>+(E353+E354+E355+E356+E357+E358+E359+E360+E361+E362+E363+E364+E368+E369+E370+E371+E372+E373+E374+E375+E376+E377+E378+E379)/B379</f>
        <v>2.1649999999999996</v>
      </c>
      <c r="F385" s="1059">
        <f>+(F353+F354+F355+F356+F357+F358+F359+F360+F361+F362+F363+F364+F368+F369+F370+F371+F372+F373+F374+F375+F376+F377+F378+F379)/B379</f>
        <v>7.1749999999999998</v>
      </c>
      <c r="G385" s="1060">
        <f>E385/F385</f>
        <v>0.30174216027874562</v>
      </c>
      <c r="H385" s="1061">
        <f>F385-E385</f>
        <v>5.01</v>
      </c>
      <c r="I385" s="1108"/>
      <c r="J385" s="1082"/>
      <c r="K385" s="1082"/>
      <c r="L385" s="1096">
        <f>L342</f>
        <v>3</v>
      </c>
      <c r="M385" s="1121">
        <f>'% Occupation'!L19</f>
        <v>4422</v>
      </c>
      <c r="N385" s="1120">
        <f>+N365+N380</f>
        <v>14150.400000000001</v>
      </c>
    </row>
    <row r="386" spans="1:14" ht="18" x14ac:dyDescent="0.3">
      <c r="A386" s="1384"/>
      <c r="B386" s="1082"/>
      <c r="C386" s="1055"/>
      <c r="D386" s="1082"/>
      <c r="E386" s="1109"/>
      <c r="F386" s="1109"/>
      <c r="G386" s="1045"/>
      <c r="H386" s="1062"/>
      <c r="I386" s="1063"/>
      <c r="J386" s="1082"/>
      <c r="K386" s="1082"/>
      <c r="L386" s="1096"/>
      <c r="M386" s="1094"/>
      <c r="N386" s="1115"/>
    </row>
    <row r="387" spans="1:14" ht="19" thickBot="1" x14ac:dyDescent="0.35">
      <c r="A387" s="1384"/>
      <c r="B387" s="1082"/>
      <c r="C387" s="1072"/>
      <c r="D387" s="1073"/>
      <c r="E387" s="1110"/>
      <c r="F387" s="1110"/>
      <c r="G387" s="1074"/>
      <c r="H387" s="1075"/>
      <c r="I387" s="1076"/>
      <c r="J387" s="1082"/>
      <c r="K387" s="1082"/>
      <c r="L387" s="1111"/>
      <c r="M387" s="1112"/>
      <c r="N387" s="1116"/>
    </row>
    <row r="388" spans="1:14" ht="17" thickTop="1" x14ac:dyDescent="0.3">
      <c r="A388" s="1384"/>
      <c r="L388" s="1117"/>
      <c r="M388" s="1118"/>
      <c r="N388" s="589"/>
    </row>
    <row r="389" spans="1:14" ht="23" x14ac:dyDescent="0.3">
      <c r="A389" s="1384"/>
      <c r="D389" s="1038" t="s">
        <v>559</v>
      </c>
      <c r="F389" s="1084"/>
      <c r="L389" s="1117"/>
      <c r="M389" s="1118"/>
      <c r="N389" s="589"/>
    </row>
    <row r="390" spans="1:14" ht="24" thickBot="1" x14ac:dyDescent="0.35">
      <c r="A390" s="1384"/>
      <c r="D390" s="1039"/>
      <c r="L390" s="1117"/>
      <c r="M390" s="1118"/>
      <c r="N390" s="589"/>
    </row>
    <row r="391" spans="1:14" ht="23" customHeight="1" thickTop="1" x14ac:dyDescent="0.25">
      <c r="A391" s="1384"/>
      <c r="D391" s="1039"/>
      <c r="E391" s="1378" t="str">
        <f>E348</f>
        <v>Coûts des ressources alimentaires pour chaque produit offert (voir recettes standardisées)</v>
      </c>
      <c r="F391" s="1378" t="str">
        <f>F348</f>
        <v>Prix de vente par produit offert</v>
      </c>
      <c r="G391" s="1378" t="str">
        <f>G348</f>
        <v xml:space="preserve">« Food &amp; Beverage Cost » </v>
      </c>
      <c r="H391" s="1378" t="str">
        <f>H348</f>
        <v>Marge brute gagnée sur la vente de chaque produit offert</v>
      </c>
      <c r="I391" s="1040"/>
      <c r="L391" s="1369" t="s">
        <v>592</v>
      </c>
      <c r="M391" s="1369" t="s">
        <v>593</v>
      </c>
      <c r="N391" s="1369" t="s">
        <v>594</v>
      </c>
    </row>
    <row r="392" spans="1:14" ht="22" x14ac:dyDescent="0.25">
      <c r="A392" s="1384"/>
      <c r="D392" s="1039"/>
      <c r="E392" s="1379"/>
      <c r="F392" s="1381"/>
      <c r="G392" s="1381"/>
      <c r="H392" s="1381"/>
      <c r="I392" s="1041"/>
      <c r="L392" s="1370"/>
      <c r="M392" s="1372"/>
      <c r="N392" s="1370"/>
    </row>
    <row r="393" spans="1:14" ht="14" customHeight="1" thickBot="1" x14ac:dyDescent="0.2">
      <c r="A393" s="1384"/>
      <c r="E393" s="1380"/>
      <c r="F393" s="1382"/>
      <c r="G393" s="1382"/>
      <c r="H393" s="1382"/>
      <c r="I393" s="1041"/>
      <c r="L393" s="1371"/>
      <c r="M393" s="1373"/>
      <c r="N393" s="1371"/>
    </row>
    <row r="394" spans="1:14" ht="18" thickTop="1" thickBot="1" x14ac:dyDescent="0.35">
      <c r="A394" s="1384"/>
      <c r="B394" s="161" t="s">
        <v>2</v>
      </c>
      <c r="E394" s="1084"/>
      <c r="F394" s="1084"/>
      <c r="G394" s="314"/>
      <c r="L394" s="1117"/>
      <c r="M394" s="1118"/>
      <c r="N394" s="589"/>
    </row>
    <row r="395" spans="1:14" ht="19" thickTop="1" x14ac:dyDescent="0.3">
      <c r="A395" s="1384"/>
      <c r="B395" s="1082"/>
      <c r="C395" s="1082"/>
      <c r="D395" s="1042" t="str">
        <f t="shared" ref="D395:F408" si="68">D352</f>
        <v>Les Petite Gâteries</v>
      </c>
      <c r="E395" s="1087"/>
      <c r="F395" s="1087"/>
      <c r="G395" s="1043"/>
      <c r="H395" s="1082"/>
      <c r="I395" s="1082"/>
      <c r="J395" s="1082"/>
      <c r="K395" s="1082"/>
      <c r="L395" s="1088"/>
      <c r="M395" s="1089"/>
      <c r="N395" s="1119"/>
    </row>
    <row r="396" spans="1:14" ht="18" x14ac:dyDescent="0.3">
      <c r="A396" s="1384"/>
      <c r="B396" s="1082">
        <f t="shared" ref="B396:C407" si="69">B353</f>
        <v>1</v>
      </c>
      <c r="C396" s="1082">
        <f t="shared" si="69"/>
        <v>1</v>
      </c>
      <c r="D396" s="1082" t="str">
        <f t="shared" si="68"/>
        <v>Petite Gâterie 1</v>
      </c>
      <c r="E396" s="1091">
        <f t="shared" si="68"/>
        <v>1.21</v>
      </c>
      <c r="F396" s="1131">
        <f t="shared" si="68"/>
        <v>3.3</v>
      </c>
      <c r="G396" s="1044">
        <f t="shared" ref="G396:G408" si="70">E396/F396</f>
        <v>0.3666666666666667</v>
      </c>
      <c r="H396" s="1092">
        <f t="shared" ref="H396:H408" si="71">F396-E396</f>
        <v>2.09</v>
      </c>
      <c r="I396" s="1087">
        <f>F396</f>
        <v>3.3</v>
      </c>
      <c r="J396" s="1374">
        <f>3/12</f>
        <v>0.25</v>
      </c>
      <c r="K396" s="1081"/>
      <c r="L396" s="1093"/>
      <c r="M396" s="1094"/>
      <c r="N396" s="1115"/>
    </row>
    <row r="397" spans="1:14" ht="18" x14ac:dyDescent="0.3">
      <c r="A397" s="1384"/>
      <c r="B397" s="1082">
        <f t="shared" si="69"/>
        <v>2</v>
      </c>
      <c r="C397" s="1082">
        <f t="shared" si="69"/>
        <v>2</v>
      </c>
      <c r="D397" s="1082" t="str">
        <f t="shared" si="68"/>
        <v>Petite Gâterie 2</v>
      </c>
      <c r="E397" s="1091">
        <f t="shared" si="68"/>
        <v>1.31</v>
      </c>
      <c r="F397" s="1128">
        <f t="shared" si="68"/>
        <v>3.8</v>
      </c>
      <c r="G397" s="1044">
        <f t="shared" si="70"/>
        <v>0.34473684210526317</v>
      </c>
      <c r="H397" s="1092">
        <f t="shared" si="71"/>
        <v>2.4899999999999998</v>
      </c>
      <c r="I397" s="1087"/>
      <c r="J397" s="1375"/>
      <c r="K397" s="1080"/>
      <c r="L397" s="1096"/>
      <c r="M397" s="1094"/>
      <c r="N397" s="1115"/>
    </row>
    <row r="398" spans="1:14" ht="19" thickBot="1" x14ac:dyDescent="0.35">
      <c r="A398" s="1384"/>
      <c r="B398" s="1070">
        <f t="shared" si="69"/>
        <v>3</v>
      </c>
      <c r="C398" s="1070">
        <f t="shared" si="69"/>
        <v>3</v>
      </c>
      <c r="D398" s="1070" t="str">
        <f t="shared" si="68"/>
        <v>Petite Gâterie 3</v>
      </c>
      <c r="E398" s="1097">
        <f t="shared" si="68"/>
        <v>1.35</v>
      </c>
      <c r="F398" s="1129">
        <f t="shared" si="68"/>
        <v>4</v>
      </c>
      <c r="G398" s="1071">
        <f t="shared" si="70"/>
        <v>0.33750000000000002</v>
      </c>
      <c r="H398" s="1098">
        <f t="shared" si="71"/>
        <v>2.65</v>
      </c>
      <c r="I398" s="1099">
        <f>+I396+1.066667</f>
        <v>4.3666669999999996</v>
      </c>
      <c r="J398" s="1376"/>
      <c r="K398" s="1080"/>
      <c r="L398" s="1096"/>
      <c r="M398" s="1094"/>
      <c r="N398" s="1115"/>
    </row>
    <row r="399" spans="1:14" ht="18" x14ac:dyDescent="0.3">
      <c r="A399" s="1384"/>
      <c r="B399" s="1082">
        <f t="shared" si="69"/>
        <v>4</v>
      </c>
      <c r="C399" s="1082">
        <f t="shared" si="69"/>
        <v>4</v>
      </c>
      <c r="D399" s="1082" t="str">
        <f t="shared" si="68"/>
        <v>Petite Gâterie 4</v>
      </c>
      <c r="E399" s="1091">
        <f t="shared" si="68"/>
        <v>1.4</v>
      </c>
      <c r="F399" s="1128">
        <f t="shared" si="68"/>
        <v>4.5</v>
      </c>
      <c r="G399" s="1044">
        <f t="shared" si="70"/>
        <v>0.31111111111111112</v>
      </c>
      <c r="H399" s="1092">
        <f t="shared" si="71"/>
        <v>3.1</v>
      </c>
      <c r="I399" s="1087">
        <f>+I398+0.01</f>
        <v>4.3766669999999994</v>
      </c>
      <c r="J399" s="1377">
        <f>7/12</f>
        <v>0.58333333333333337</v>
      </c>
      <c r="K399" s="1081"/>
      <c r="L399" s="1096"/>
      <c r="M399" s="1094"/>
      <c r="N399" s="1115"/>
    </row>
    <row r="400" spans="1:14" ht="18" x14ac:dyDescent="0.3">
      <c r="A400" s="1384"/>
      <c r="B400" s="1082">
        <f t="shared" si="69"/>
        <v>5</v>
      </c>
      <c r="C400" s="1082">
        <f t="shared" si="69"/>
        <v>5</v>
      </c>
      <c r="D400" s="1082" t="str">
        <f t="shared" si="68"/>
        <v>Petite Gâterie 5</v>
      </c>
      <c r="E400" s="1091">
        <f t="shared" si="68"/>
        <v>1.24</v>
      </c>
      <c r="F400" s="1128">
        <f t="shared" si="68"/>
        <v>4.5999999999999996</v>
      </c>
      <c r="G400" s="1044">
        <f t="shared" si="70"/>
        <v>0.26956521739130435</v>
      </c>
      <c r="H400" s="1092">
        <f t="shared" si="71"/>
        <v>3.3599999999999994</v>
      </c>
      <c r="I400" s="1087"/>
      <c r="J400" s="1375"/>
      <c r="K400" s="1080"/>
      <c r="L400" s="1096"/>
      <c r="M400" s="1094"/>
      <c r="N400" s="1115"/>
    </row>
    <row r="401" spans="1:14" ht="18" x14ac:dyDescent="0.3">
      <c r="A401" s="1384"/>
      <c r="B401" s="1082">
        <f t="shared" si="69"/>
        <v>6</v>
      </c>
      <c r="C401" s="1082">
        <f t="shared" si="69"/>
        <v>6</v>
      </c>
      <c r="D401" s="1082" t="str">
        <f t="shared" si="68"/>
        <v>Petite Gâterie 6</v>
      </c>
      <c r="E401" s="1091">
        <f t="shared" si="68"/>
        <v>1.39</v>
      </c>
      <c r="F401" s="1128">
        <f t="shared" si="68"/>
        <v>4.7</v>
      </c>
      <c r="G401" s="1044">
        <f t="shared" si="70"/>
        <v>0.29574468085106381</v>
      </c>
      <c r="H401" s="1092">
        <f t="shared" si="71"/>
        <v>3.3100000000000005</v>
      </c>
      <c r="I401" s="1087"/>
      <c r="J401" s="1375"/>
      <c r="K401" s="1080"/>
      <c r="L401" s="1096"/>
      <c r="M401" s="1094"/>
      <c r="N401" s="1115"/>
    </row>
    <row r="402" spans="1:14" ht="18" x14ac:dyDescent="0.3">
      <c r="A402" s="1384"/>
      <c r="B402" s="1082">
        <f t="shared" si="69"/>
        <v>7</v>
      </c>
      <c r="C402" s="1082">
        <f t="shared" si="69"/>
        <v>7</v>
      </c>
      <c r="D402" s="1082" t="str">
        <f t="shared" si="68"/>
        <v>Petite Gâterie 7</v>
      </c>
      <c r="E402" s="1091">
        <f t="shared" si="68"/>
        <v>1.51</v>
      </c>
      <c r="F402" s="1128">
        <f t="shared" si="68"/>
        <v>4.8</v>
      </c>
      <c r="G402" s="1044">
        <f t="shared" si="70"/>
        <v>0.31458333333333333</v>
      </c>
      <c r="H402" s="1092">
        <f t="shared" si="71"/>
        <v>3.29</v>
      </c>
      <c r="I402" s="1087"/>
      <c r="J402" s="1375"/>
      <c r="K402" s="1080"/>
      <c r="L402" s="1096"/>
      <c r="M402" s="1094"/>
      <c r="N402" s="1115"/>
    </row>
    <row r="403" spans="1:14" ht="18" x14ac:dyDescent="0.3">
      <c r="A403" s="1384"/>
      <c r="B403" s="1082">
        <f t="shared" si="69"/>
        <v>8</v>
      </c>
      <c r="C403" s="1082">
        <f t="shared" si="69"/>
        <v>8</v>
      </c>
      <c r="D403" s="1082" t="str">
        <f t="shared" si="68"/>
        <v>Petite Gâterie 8</v>
      </c>
      <c r="E403" s="1091">
        <f t="shared" si="68"/>
        <v>1.53</v>
      </c>
      <c r="F403" s="1128">
        <f t="shared" si="68"/>
        <v>4.9000000000000004</v>
      </c>
      <c r="G403" s="1044">
        <f t="shared" si="70"/>
        <v>0.31224489795918364</v>
      </c>
      <c r="H403" s="1092">
        <f t="shared" si="71"/>
        <v>3.37</v>
      </c>
      <c r="I403" s="1087"/>
      <c r="J403" s="1375"/>
      <c r="K403" s="1080"/>
      <c r="L403" s="1096"/>
      <c r="M403" s="1094"/>
      <c r="N403" s="1115"/>
    </row>
    <row r="404" spans="1:14" ht="18" x14ac:dyDescent="0.3">
      <c r="A404" s="1384"/>
      <c r="B404" s="1082">
        <f t="shared" si="69"/>
        <v>9</v>
      </c>
      <c r="C404" s="1082">
        <f t="shared" si="69"/>
        <v>9</v>
      </c>
      <c r="D404" s="1082" t="str">
        <f t="shared" si="68"/>
        <v>Petite Gâterie 9</v>
      </c>
      <c r="E404" s="1091">
        <f t="shared" si="68"/>
        <v>1.55</v>
      </c>
      <c r="F404" s="1128">
        <f t="shared" si="68"/>
        <v>5</v>
      </c>
      <c r="G404" s="1044">
        <f t="shared" si="70"/>
        <v>0.31</v>
      </c>
      <c r="H404" s="1092">
        <f t="shared" si="71"/>
        <v>3.45</v>
      </c>
      <c r="I404" s="1087"/>
      <c r="J404" s="1375"/>
      <c r="K404" s="1080"/>
      <c r="L404" s="1096"/>
      <c r="M404" s="1094"/>
      <c r="N404" s="1115"/>
    </row>
    <row r="405" spans="1:14" ht="19" thickBot="1" x14ac:dyDescent="0.35">
      <c r="A405" s="1384"/>
      <c r="B405" s="1070">
        <f t="shared" si="69"/>
        <v>10</v>
      </c>
      <c r="C405" s="1070">
        <f t="shared" si="69"/>
        <v>10</v>
      </c>
      <c r="D405" s="1070" t="str">
        <f t="shared" si="68"/>
        <v>Petite Gâterie 10</v>
      </c>
      <c r="E405" s="1097">
        <f t="shared" si="68"/>
        <v>1.59</v>
      </c>
      <c r="F405" s="1129">
        <f t="shared" si="68"/>
        <v>5.2</v>
      </c>
      <c r="G405" s="1071">
        <f t="shared" si="70"/>
        <v>0.30576923076923079</v>
      </c>
      <c r="H405" s="1098">
        <f t="shared" si="71"/>
        <v>3.6100000000000003</v>
      </c>
      <c r="I405" s="1099">
        <f>+I398+1.066667</f>
        <v>5.4333339999999994</v>
      </c>
      <c r="J405" s="1376"/>
      <c r="K405" s="1080"/>
      <c r="L405" s="1096"/>
      <c r="M405" s="1094"/>
      <c r="N405" s="1115"/>
    </row>
    <row r="406" spans="1:14" ht="18" x14ac:dyDescent="0.3">
      <c r="A406" s="1384"/>
      <c r="B406" s="1082">
        <f t="shared" si="69"/>
        <v>11</v>
      </c>
      <c r="C406" s="1082">
        <f t="shared" si="69"/>
        <v>11</v>
      </c>
      <c r="D406" s="1082" t="str">
        <f t="shared" si="68"/>
        <v>Petite Gâterie 11</v>
      </c>
      <c r="E406" s="1091">
        <f t="shared" si="68"/>
        <v>1.83</v>
      </c>
      <c r="F406" s="1128">
        <f t="shared" si="68"/>
        <v>6.4</v>
      </c>
      <c r="G406" s="1044">
        <f t="shared" si="70"/>
        <v>0.28593750000000001</v>
      </c>
      <c r="H406" s="1092">
        <f t="shared" si="71"/>
        <v>4.57</v>
      </c>
      <c r="I406" s="1087">
        <f>+I405+0.01</f>
        <v>5.4433339999999992</v>
      </c>
      <c r="J406" s="1377">
        <f>2/12</f>
        <v>0.16666666666666666</v>
      </c>
      <c r="K406" s="1081"/>
      <c r="L406" s="1096"/>
      <c r="M406" s="1094"/>
      <c r="N406" s="1115"/>
    </row>
    <row r="407" spans="1:14" ht="18" x14ac:dyDescent="0.3">
      <c r="A407" s="1384"/>
      <c r="B407" s="1082">
        <f t="shared" si="69"/>
        <v>12</v>
      </c>
      <c r="C407" s="1082">
        <f t="shared" si="69"/>
        <v>12</v>
      </c>
      <c r="D407" s="1082" t="str">
        <f t="shared" si="68"/>
        <v>Petite Gâterie 12</v>
      </c>
      <c r="E407" s="1091">
        <f t="shared" si="68"/>
        <v>1.87</v>
      </c>
      <c r="F407" s="1128">
        <f t="shared" si="68"/>
        <v>6.6</v>
      </c>
      <c r="G407" s="1044">
        <f t="shared" si="70"/>
        <v>0.28333333333333338</v>
      </c>
      <c r="H407" s="1092">
        <f t="shared" si="71"/>
        <v>4.7299999999999995</v>
      </c>
      <c r="I407" s="1087">
        <f>F407</f>
        <v>6.6</v>
      </c>
      <c r="J407" s="1375"/>
      <c r="K407" s="1080"/>
      <c r="L407" s="1096"/>
      <c r="M407" s="1094"/>
      <c r="N407" s="1115"/>
    </row>
    <row r="408" spans="1:14" ht="19" x14ac:dyDescent="0.35">
      <c r="A408" s="1384"/>
      <c r="B408" s="1082"/>
      <c r="C408" s="1082"/>
      <c r="D408" s="1042" t="str">
        <f t="shared" si="68"/>
        <v>CmO—PmO—Food Cost—BmO</v>
      </c>
      <c r="E408" s="1046">
        <f>SUM(E396:E407)/C407</f>
        <v>1.4816666666666667</v>
      </c>
      <c r="F408" s="1046">
        <f>SUM(F396:F407)/C407</f>
        <v>4.8166666666666673</v>
      </c>
      <c r="G408" s="1047">
        <f t="shared" si="70"/>
        <v>0.30761245674740478</v>
      </c>
      <c r="H408" s="1048">
        <f t="shared" si="71"/>
        <v>3.3350000000000009</v>
      </c>
      <c r="I408" s="1100"/>
      <c r="J408" s="1082"/>
      <c r="K408" s="1082"/>
      <c r="L408" s="1101">
        <f>'Formule pour le calcul D'!V82</f>
        <v>2.15</v>
      </c>
      <c r="M408" s="1094"/>
      <c r="N408" s="1120">
        <f>+L408*M428</f>
        <v>9515.9</v>
      </c>
    </row>
    <row r="409" spans="1:14" ht="18" x14ac:dyDescent="0.3">
      <c r="A409" s="1384"/>
      <c r="B409" s="1082" t="s">
        <v>2</v>
      </c>
      <c r="C409" s="1082"/>
      <c r="D409" s="1082"/>
      <c r="E409" s="1091"/>
      <c r="F409" s="1091"/>
      <c r="G409" s="1044"/>
      <c r="H409" s="1049"/>
      <c r="I409" s="1087"/>
      <c r="J409" s="1082"/>
      <c r="K409" s="1082"/>
      <c r="L409" s="1096"/>
      <c r="M409" s="1094"/>
      <c r="N409" s="1115"/>
    </row>
    <row r="410" spans="1:14" ht="18" x14ac:dyDescent="0.3">
      <c r="A410" s="1384"/>
      <c r="B410" s="1082"/>
      <c r="C410" s="1082"/>
      <c r="D410" s="1042" t="str">
        <f t="shared" ref="D410:F423" si="72">D367</f>
        <v>Les Boissons  Gâteries</v>
      </c>
      <c r="E410" s="1091"/>
      <c r="F410" s="1091"/>
      <c r="G410" s="1044"/>
      <c r="H410" s="1049"/>
      <c r="I410" s="1087"/>
      <c r="J410" s="1082"/>
      <c r="K410" s="1082"/>
      <c r="L410" s="1096"/>
      <c r="M410" s="1094"/>
      <c r="N410" s="1115"/>
    </row>
    <row r="411" spans="1:14" ht="18" x14ac:dyDescent="0.3">
      <c r="A411" s="1384"/>
      <c r="B411" s="1082">
        <f t="shared" ref="B411:C422" si="73">B368</f>
        <v>13</v>
      </c>
      <c r="C411" s="1082">
        <f t="shared" si="73"/>
        <v>1</v>
      </c>
      <c r="D411" s="1082" t="str">
        <f t="shared" si="72"/>
        <v>Boisson spécial numéro 1</v>
      </c>
      <c r="E411" s="1091">
        <f t="shared" si="72"/>
        <v>2.2799999999999998</v>
      </c>
      <c r="F411" s="1131">
        <f>F368</f>
        <v>6.6</v>
      </c>
      <c r="G411" s="1044">
        <f>E411/F411</f>
        <v>0.34545454545454546</v>
      </c>
      <c r="H411" s="1092">
        <f>F411-E411</f>
        <v>4.32</v>
      </c>
      <c r="I411" s="1087">
        <f>F411</f>
        <v>6.6</v>
      </c>
      <c r="J411" s="1374">
        <f>3/12</f>
        <v>0.25</v>
      </c>
      <c r="K411" s="1081"/>
      <c r="L411" s="1096"/>
      <c r="M411" s="1094"/>
      <c r="N411" s="1115"/>
    </row>
    <row r="412" spans="1:14" ht="18" x14ac:dyDescent="0.3">
      <c r="A412" s="1384"/>
      <c r="B412" s="1082">
        <f t="shared" si="73"/>
        <v>14</v>
      </c>
      <c r="C412" s="1082">
        <f t="shared" si="73"/>
        <v>2</v>
      </c>
      <c r="D412" s="1082" t="str">
        <f t="shared" si="72"/>
        <v>Boisson spécial numéro 2</v>
      </c>
      <c r="E412" s="1091">
        <f t="shared" si="72"/>
        <v>2.66</v>
      </c>
      <c r="F412" s="1128">
        <f t="shared" si="72"/>
        <v>7.6</v>
      </c>
      <c r="G412" s="1044">
        <f>E412/F412</f>
        <v>0.35000000000000003</v>
      </c>
      <c r="H412" s="1092">
        <f>F412-E412</f>
        <v>4.9399999999999995</v>
      </c>
      <c r="I412" s="1087"/>
      <c r="J412" s="1375"/>
      <c r="K412" s="1080"/>
      <c r="L412" s="1096"/>
      <c r="M412" s="1094"/>
      <c r="N412" s="1115"/>
    </row>
    <row r="413" spans="1:14" ht="19" thickBot="1" x14ac:dyDescent="0.35">
      <c r="A413" s="1384"/>
      <c r="B413" s="1070">
        <f t="shared" si="73"/>
        <v>15</v>
      </c>
      <c r="C413" s="1070">
        <f t="shared" si="73"/>
        <v>3</v>
      </c>
      <c r="D413" s="1070" t="str">
        <f t="shared" si="72"/>
        <v>Boisson spécial numéro 3</v>
      </c>
      <c r="E413" s="1097">
        <f t="shared" si="72"/>
        <v>2.74</v>
      </c>
      <c r="F413" s="1129">
        <f t="shared" si="72"/>
        <v>8</v>
      </c>
      <c r="G413" s="1071">
        <f>E413/F413</f>
        <v>0.34250000000000003</v>
      </c>
      <c r="H413" s="1098">
        <f>F413-E413</f>
        <v>5.26</v>
      </c>
      <c r="I413" s="1099">
        <f>+I411+2.1</f>
        <v>8.6999999999999993</v>
      </c>
      <c r="J413" s="1376"/>
      <c r="K413" s="1080"/>
      <c r="L413" s="1096"/>
      <c r="M413" s="1094"/>
      <c r="N413" s="1115"/>
    </row>
    <row r="414" spans="1:14" ht="18" x14ac:dyDescent="0.3">
      <c r="A414" s="1384"/>
      <c r="B414" s="1082">
        <f t="shared" si="73"/>
        <v>16</v>
      </c>
      <c r="C414" s="1082">
        <f t="shared" si="73"/>
        <v>4</v>
      </c>
      <c r="D414" s="1082" t="str">
        <f t="shared" si="72"/>
        <v>Boisson spécial numéro 4</v>
      </c>
      <c r="E414" s="1091">
        <f t="shared" si="72"/>
        <v>2.72</v>
      </c>
      <c r="F414" s="1131">
        <f>F371</f>
        <v>9</v>
      </c>
      <c r="G414" s="1044">
        <f t="shared" ref="G414:G421" si="74">E414/F414</f>
        <v>0.30222222222222223</v>
      </c>
      <c r="H414" s="1092">
        <f t="shared" ref="H414:H421" si="75">F414-E414</f>
        <v>6.2799999999999994</v>
      </c>
      <c r="I414" s="1087">
        <f>+I413+0.01</f>
        <v>8.7099999999999991</v>
      </c>
      <c r="J414" s="1374">
        <f>7/12</f>
        <v>0.58333333333333337</v>
      </c>
      <c r="K414" s="1081"/>
      <c r="L414" s="1096"/>
      <c r="M414" s="1094"/>
      <c r="N414" s="1115"/>
    </row>
    <row r="415" spans="1:14" ht="18" x14ac:dyDescent="0.3">
      <c r="A415" s="1384"/>
      <c r="B415" s="1082">
        <f t="shared" si="73"/>
        <v>17</v>
      </c>
      <c r="C415" s="1082">
        <f t="shared" si="73"/>
        <v>5</v>
      </c>
      <c r="D415" s="1082" t="str">
        <f t="shared" si="72"/>
        <v>Boisson spécial numéro 5</v>
      </c>
      <c r="E415" s="1091">
        <f t="shared" si="72"/>
        <v>2.76</v>
      </c>
      <c r="F415" s="1128">
        <f t="shared" si="72"/>
        <v>9.1999999999999993</v>
      </c>
      <c r="G415" s="1044">
        <f t="shared" si="74"/>
        <v>0.3</v>
      </c>
      <c r="H415" s="1092">
        <f t="shared" si="75"/>
        <v>6.4399999999999995</v>
      </c>
      <c r="I415" s="1087"/>
      <c r="J415" s="1375"/>
      <c r="K415" s="1080"/>
      <c r="L415" s="1096"/>
      <c r="M415" s="1094"/>
      <c r="N415" s="1115"/>
    </row>
    <row r="416" spans="1:14" ht="18" x14ac:dyDescent="0.3">
      <c r="A416" s="1384"/>
      <c r="B416" s="1082">
        <f t="shared" si="73"/>
        <v>18</v>
      </c>
      <c r="C416" s="1082">
        <f t="shared" si="73"/>
        <v>6</v>
      </c>
      <c r="D416" s="1082" t="str">
        <f t="shared" si="72"/>
        <v>Boisson spécial numéro 6</v>
      </c>
      <c r="E416" s="1091">
        <f t="shared" si="72"/>
        <v>2.8</v>
      </c>
      <c r="F416" s="1128">
        <f t="shared" si="72"/>
        <v>9.4</v>
      </c>
      <c r="G416" s="1044">
        <f t="shared" si="74"/>
        <v>0.2978723404255319</v>
      </c>
      <c r="H416" s="1092">
        <f t="shared" si="75"/>
        <v>6.6000000000000005</v>
      </c>
      <c r="I416" s="1087"/>
      <c r="J416" s="1375"/>
      <c r="K416" s="1080"/>
      <c r="L416" s="1096"/>
      <c r="M416" s="1094"/>
      <c r="N416" s="1115"/>
    </row>
    <row r="417" spans="1:14" ht="18" x14ac:dyDescent="0.3">
      <c r="A417" s="1384"/>
      <c r="B417" s="1082">
        <f t="shared" si="73"/>
        <v>19</v>
      </c>
      <c r="C417" s="1082">
        <f t="shared" si="73"/>
        <v>7</v>
      </c>
      <c r="D417" s="1082" t="str">
        <f t="shared" si="72"/>
        <v>Boisson spécial numéro 7</v>
      </c>
      <c r="E417" s="1091">
        <f t="shared" si="72"/>
        <v>2.82</v>
      </c>
      <c r="F417" s="1128">
        <f t="shared" si="72"/>
        <v>9.6</v>
      </c>
      <c r="G417" s="1044">
        <f t="shared" si="74"/>
        <v>0.29375000000000001</v>
      </c>
      <c r="H417" s="1092">
        <f t="shared" si="75"/>
        <v>6.7799999999999994</v>
      </c>
      <c r="I417" s="1087"/>
      <c r="J417" s="1375"/>
      <c r="K417" s="1080"/>
      <c r="L417" s="1096"/>
      <c r="M417" s="1094"/>
      <c r="N417" s="1115"/>
    </row>
    <row r="418" spans="1:14" ht="18" x14ac:dyDescent="0.3">
      <c r="A418" s="1384"/>
      <c r="B418" s="1082">
        <f t="shared" si="73"/>
        <v>20</v>
      </c>
      <c r="C418" s="1082">
        <f t="shared" si="73"/>
        <v>8</v>
      </c>
      <c r="D418" s="1082" t="str">
        <f t="shared" si="72"/>
        <v>Boisson spécial numéro 8</v>
      </c>
      <c r="E418" s="1091">
        <f t="shared" si="72"/>
        <v>2.86</v>
      </c>
      <c r="F418" s="1128">
        <f t="shared" si="72"/>
        <v>9.8000000000000007</v>
      </c>
      <c r="G418" s="1044">
        <f t="shared" si="74"/>
        <v>0.2918367346938775</v>
      </c>
      <c r="H418" s="1092">
        <f t="shared" si="75"/>
        <v>6.9400000000000013</v>
      </c>
      <c r="I418" s="1087"/>
      <c r="J418" s="1375"/>
      <c r="K418" s="1080"/>
      <c r="L418" s="1096"/>
      <c r="M418" s="1094"/>
      <c r="N418" s="1115"/>
    </row>
    <row r="419" spans="1:14" ht="18" x14ac:dyDescent="0.3">
      <c r="A419" s="1384"/>
      <c r="B419" s="1082">
        <f t="shared" si="73"/>
        <v>21</v>
      </c>
      <c r="C419" s="1082">
        <f t="shared" si="73"/>
        <v>9</v>
      </c>
      <c r="D419" s="1082" t="str">
        <f t="shared" si="72"/>
        <v>Boisson spécial numéro 9</v>
      </c>
      <c r="E419" s="1091">
        <f t="shared" si="72"/>
        <v>2.9</v>
      </c>
      <c r="F419" s="1128">
        <f t="shared" si="72"/>
        <v>10</v>
      </c>
      <c r="G419" s="1044">
        <f t="shared" si="74"/>
        <v>0.28999999999999998</v>
      </c>
      <c r="H419" s="1092">
        <f t="shared" si="75"/>
        <v>7.1</v>
      </c>
      <c r="I419" s="1087"/>
      <c r="J419" s="1375"/>
      <c r="K419" s="1080"/>
      <c r="L419" s="1096"/>
      <c r="M419" s="1094"/>
      <c r="N419" s="1115"/>
    </row>
    <row r="420" spans="1:14" ht="19" thickBot="1" x14ac:dyDescent="0.35">
      <c r="A420" s="1384"/>
      <c r="B420" s="1070">
        <f t="shared" si="73"/>
        <v>22</v>
      </c>
      <c r="C420" s="1070">
        <f t="shared" si="73"/>
        <v>10</v>
      </c>
      <c r="D420" s="1070" t="str">
        <f t="shared" si="72"/>
        <v>Boisson spécial numéro 10</v>
      </c>
      <c r="E420" s="1097">
        <f t="shared" si="72"/>
        <v>2.98</v>
      </c>
      <c r="F420" s="1129">
        <f t="shared" si="72"/>
        <v>10.4</v>
      </c>
      <c r="G420" s="1071">
        <f t="shared" si="74"/>
        <v>0.28653846153846152</v>
      </c>
      <c r="H420" s="1098">
        <f t="shared" si="75"/>
        <v>7.42</v>
      </c>
      <c r="I420" s="1099">
        <f>+I413+2.1</f>
        <v>10.799999999999999</v>
      </c>
      <c r="J420" s="1376"/>
      <c r="K420" s="1080"/>
      <c r="L420" s="1096"/>
      <c r="M420" s="1094"/>
      <c r="N420" s="1115"/>
    </row>
    <row r="421" spans="1:14" ht="18" x14ac:dyDescent="0.3">
      <c r="A421" s="1384"/>
      <c r="B421" s="1082">
        <f t="shared" si="73"/>
        <v>23</v>
      </c>
      <c r="C421" s="1082">
        <f t="shared" si="73"/>
        <v>11</v>
      </c>
      <c r="D421" s="1082" t="str">
        <f t="shared" si="72"/>
        <v>Boisson spécial numéro 11</v>
      </c>
      <c r="E421" s="1091">
        <f t="shared" si="72"/>
        <v>3.18</v>
      </c>
      <c r="F421" s="1128">
        <f t="shared" si="72"/>
        <v>11.6</v>
      </c>
      <c r="G421" s="1044">
        <f t="shared" si="74"/>
        <v>0.27413793103448281</v>
      </c>
      <c r="H421" s="1092">
        <f t="shared" si="75"/>
        <v>8.42</v>
      </c>
      <c r="I421" s="1087">
        <f>+I420+0.01</f>
        <v>10.809999999999999</v>
      </c>
      <c r="J421" s="1377">
        <f>2/12</f>
        <v>0.16666666666666666</v>
      </c>
      <c r="K421" s="1081"/>
      <c r="L421" s="1096"/>
      <c r="M421" s="1094"/>
      <c r="N421" s="1115"/>
    </row>
    <row r="422" spans="1:14" ht="18" x14ac:dyDescent="0.3">
      <c r="A422" s="1384"/>
      <c r="B422" s="1082">
        <f t="shared" si="73"/>
        <v>24</v>
      </c>
      <c r="C422" s="1082">
        <f t="shared" si="73"/>
        <v>12</v>
      </c>
      <c r="D422" s="1082" t="str">
        <f t="shared" si="72"/>
        <v>Boisson spécial numéro 12</v>
      </c>
      <c r="E422" s="1091">
        <f t="shared" si="72"/>
        <v>3.48</v>
      </c>
      <c r="F422" s="1128">
        <f t="shared" si="72"/>
        <v>13.2</v>
      </c>
      <c r="G422" s="1044">
        <f>E422/F422</f>
        <v>0.26363636363636367</v>
      </c>
      <c r="H422" s="1092">
        <f>F422-E422</f>
        <v>9.7199999999999989</v>
      </c>
      <c r="I422" s="1087">
        <f>F422</f>
        <v>13.2</v>
      </c>
      <c r="J422" s="1375"/>
      <c r="K422" s="1080"/>
      <c r="L422" s="1096"/>
      <c r="M422" s="1094"/>
      <c r="N422" s="1115"/>
    </row>
    <row r="423" spans="1:14" ht="19" x14ac:dyDescent="0.35">
      <c r="A423" s="1384"/>
      <c r="B423" s="1082"/>
      <c r="C423" s="1082"/>
      <c r="D423" s="1042" t="str">
        <f t="shared" si="72"/>
        <v>CmO—PmO—Beverage Cost—Marge brute</v>
      </c>
      <c r="E423" s="1046">
        <f>SUM(E411:E422)/C422</f>
        <v>2.8483333333333332</v>
      </c>
      <c r="F423" s="1046">
        <f>SUM(F411:F422)/C422</f>
        <v>9.5333333333333332</v>
      </c>
      <c r="G423" s="1050">
        <f>E423/F423</f>
        <v>0.29877622377622376</v>
      </c>
      <c r="H423" s="1048">
        <f>F423-E423</f>
        <v>6.6850000000000005</v>
      </c>
      <c r="I423" s="1100"/>
      <c r="J423" s="1082"/>
      <c r="K423" s="1082"/>
      <c r="L423" s="1096">
        <f>'Formule pour le calcul D'!AH82</f>
        <v>1.1499999999999999</v>
      </c>
      <c r="M423" s="1094"/>
      <c r="N423" s="1120">
        <f>+L423*M428</f>
        <v>5089.8999999999996</v>
      </c>
    </row>
    <row r="424" spans="1:14" ht="19" thickBot="1" x14ac:dyDescent="0.35">
      <c r="A424" s="1384"/>
      <c r="B424" s="1082"/>
      <c r="C424" s="1082"/>
      <c r="D424" s="1082"/>
      <c r="E424" s="1091"/>
      <c r="F424" s="1091"/>
      <c r="G424" s="1043"/>
      <c r="H424" s="1049"/>
      <c r="I424" s="1082"/>
      <c r="J424" s="1082"/>
      <c r="K424" s="1082"/>
      <c r="L424" s="1096"/>
      <c r="M424" s="1094"/>
      <c r="N424" s="1115"/>
    </row>
    <row r="425" spans="1:14" ht="21" thickTop="1" thickBot="1" x14ac:dyDescent="0.4">
      <c r="A425" s="1384"/>
      <c r="B425" s="1082"/>
      <c r="C425" s="1051"/>
      <c r="D425" s="1052"/>
      <c r="E425" s="1102"/>
      <c r="F425" s="1102"/>
      <c r="G425" s="1053"/>
      <c r="H425" s="1103"/>
      <c r="I425" s="1104"/>
      <c r="J425" s="1082"/>
      <c r="K425" s="1082"/>
      <c r="L425" s="1096"/>
      <c r="M425" s="1094"/>
      <c r="N425" s="1115"/>
    </row>
    <row r="426" spans="1:14" ht="20" thickTop="1" thickBot="1" x14ac:dyDescent="0.35">
      <c r="A426" s="1384"/>
      <c r="B426" s="1082"/>
      <c r="C426" s="1055"/>
      <c r="D426" s="1042"/>
      <c r="E426" s="1105" t="str">
        <f>E383</f>
        <v>CmO</v>
      </c>
      <c r="F426" s="1105" t="str">
        <f>F383</f>
        <v>PmO</v>
      </c>
      <c r="G426" s="1056" t="str">
        <f>G383</f>
        <v>F&amp;BCmO</v>
      </c>
      <c r="H426" s="1106" t="str">
        <f>H383</f>
        <v>BmO</v>
      </c>
      <c r="I426" s="1107"/>
      <c r="J426" s="1082"/>
      <c r="K426" s="1082"/>
      <c r="L426" s="1096"/>
      <c r="M426" s="1094"/>
      <c r="N426" s="1115"/>
    </row>
    <row r="427" spans="1:14" ht="19" thickTop="1" x14ac:dyDescent="0.3">
      <c r="A427" s="1384"/>
      <c r="B427" s="1082"/>
      <c r="C427" s="1055"/>
      <c r="D427" s="1057" t="str">
        <f>D384</f>
        <v>OFFRE TOTALE AVEC LES GÂTERIES ET LES CAFÉS GÂTERIES</v>
      </c>
      <c r="E427" s="1091"/>
      <c r="F427" s="1091"/>
      <c r="G427" s="1043"/>
      <c r="H427" s="1049"/>
      <c r="I427" s="1058"/>
      <c r="J427" s="1082"/>
      <c r="K427" s="1082"/>
      <c r="L427" s="1096"/>
      <c r="M427" s="1094"/>
      <c r="N427" s="1115"/>
    </row>
    <row r="428" spans="1:14" ht="19" x14ac:dyDescent="0.35">
      <c r="A428" s="1384"/>
      <c r="B428" s="1082"/>
      <c r="C428" s="1055"/>
      <c r="D428" s="1042" t="str">
        <f>D385</f>
        <v>CmO—PmO—F&amp;B cost moyen offert—Marge brute</v>
      </c>
      <c r="E428" s="1059">
        <f>+(E396+E397+E398+E399+E400+E401+E402+E403+E404+E405+E406+E407+E411+E412+E413+E414+E415+E416+E417+E418+E419+E420+E421+E422)/B422</f>
        <v>2.1649999999999996</v>
      </c>
      <c r="F428" s="1059">
        <f>+(F396+F397+F398+F399+F400+F401+F402+F403+F404+F405+F406+F407+F411+F412+F413+F414+F415+F416+F417+F418+F419+F420+F421+F422)/B422</f>
        <v>7.1749999999999998</v>
      </c>
      <c r="G428" s="1060">
        <f>E428/F428</f>
        <v>0.30174216027874562</v>
      </c>
      <c r="H428" s="1061">
        <f>F428-E428</f>
        <v>5.01</v>
      </c>
      <c r="I428" s="1108"/>
      <c r="J428" s="1082"/>
      <c r="K428" s="1082"/>
      <c r="L428" s="1096">
        <f>L385</f>
        <v>3</v>
      </c>
      <c r="M428" s="1121">
        <f>'% Occupation'!M19</f>
        <v>4426</v>
      </c>
      <c r="N428" s="1120">
        <f>+N408+N423</f>
        <v>14605.8</v>
      </c>
    </row>
    <row r="429" spans="1:14" ht="18" x14ac:dyDescent="0.3">
      <c r="A429" s="1384"/>
      <c r="B429" s="1082"/>
      <c r="C429" s="1055"/>
      <c r="D429" s="1082"/>
      <c r="E429" s="1109"/>
      <c r="F429" s="1109"/>
      <c r="G429" s="1045"/>
      <c r="H429" s="1062"/>
      <c r="I429" s="1063"/>
      <c r="J429" s="1082"/>
      <c r="K429" s="1082"/>
      <c r="L429" s="1096"/>
      <c r="M429" s="1094"/>
      <c r="N429" s="1115"/>
    </row>
    <row r="430" spans="1:14" ht="19" thickBot="1" x14ac:dyDescent="0.35">
      <c r="A430" s="1384"/>
      <c r="B430" s="1082"/>
      <c r="C430" s="1072"/>
      <c r="D430" s="1073"/>
      <c r="E430" s="1110"/>
      <c r="F430" s="1110"/>
      <c r="G430" s="1074"/>
      <c r="H430" s="1075"/>
      <c r="I430" s="1076"/>
      <c r="J430" s="1082"/>
      <c r="K430" s="1082"/>
      <c r="L430" s="1111"/>
      <c r="M430" s="1112"/>
      <c r="N430" s="1116"/>
    </row>
    <row r="431" spans="1:14" ht="17" thickTop="1" x14ac:dyDescent="0.3">
      <c r="A431" s="1384"/>
      <c r="L431" s="1117"/>
      <c r="M431" s="1118"/>
      <c r="N431" s="589"/>
    </row>
    <row r="432" spans="1:14" ht="23" x14ac:dyDescent="0.3">
      <c r="A432" s="1384"/>
      <c r="D432" s="1038" t="s">
        <v>560</v>
      </c>
      <c r="F432" s="1084"/>
      <c r="L432" s="1117"/>
      <c r="M432" s="1118"/>
      <c r="N432" s="589"/>
    </row>
    <row r="433" spans="1:14" ht="24" thickBot="1" x14ac:dyDescent="0.35">
      <c r="A433" s="1384"/>
      <c r="D433" s="1039"/>
      <c r="L433" s="1117"/>
      <c r="M433" s="1118"/>
      <c r="N433" s="589"/>
    </row>
    <row r="434" spans="1:14" ht="23" customHeight="1" thickTop="1" x14ac:dyDescent="0.25">
      <c r="A434" s="1384"/>
      <c r="D434" s="1039"/>
      <c r="E434" s="1378" t="str">
        <f>E391</f>
        <v>Coûts des ressources alimentaires pour chaque produit offert (voir recettes standardisées)</v>
      </c>
      <c r="F434" s="1378" t="str">
        <f>F391</f>
        <v>Prix de vente par produit offert</v>
      </c>
      <c r="G434" s="1378" t="str">
        <f>G391</f>
        <v xml:space="preserve">« Food &amp; Beverage Cost » </v>
      </c>
      <c r="H434" s="1378" t="str">
        <f>H391</f>
        <v>Marge brute gagnée sur la vente de chaque produit offert</v>
      </c>
      <c r="I434" s="1040"/>
      <c r="L434" s="1369" t="s">
        <v>592</v>
      </c>
      <c r="M434" s="1369" t="s">
        <v>593</v>
      </c>
      <c r="N434" s="1369" t="s">
        <v>594</v>
      </c>
    </row>
    <row r="435" spans="1:14" ht="22" x14ac:dyDescent="0.25">
      <c r="A435" s="1384"/>
      <c r="D435" s="1039"/>
      <c r="E435" s="1379"/>
      <c r="F435" s="1381"/>
      <c r="G435" s="1381"/>
      <c r="H435" s="1381"/>
      <c r="I435" s="1041"/>
      <c r="L435" s="1370"/>
      <c r="M435" s="1372"/>
      <c r="N435" s="1370"/>
    </row>
    <row r="436" spans="1:14" ht="14" customHeight="1" thickBot="1" x14ac:dyDescent="0.2">
      <c r="A436" s="1384"/>
      <c r="E436" s="1380"/>
      <c r="F436" s="1382"/>
      <c r="G436" s="1382"/>
      <c r="H436" s="1382"/>
      <c r="I436" s="1041"/>
      <c r="L436" s="1371"/>
      <c r="M436" s="1373"/>
      <c r="N436" s="1371"/>
    </row>
    <row r="437" spans="1:14" ht="18" thickTop="1" thickBot="1" x14ac:dyDescent="0.35">
      <c r="A437" s="1384"/>
      <c r="B437" s="161" t="s">
        <v>2</v>
      </c>
      <c r="E437" s="1084"/>
      <c r="F437" s="1084"/>
      <c r="G437" s="314"/>
      <c r="L437" s="1117"/>
      <c r="M437" s="1118"/>
      <c r="N437" s="589"/>
    </row>
    <row r="438" spans="1:14" ht="19" thickTop="1" x14ac:dyDescent="0.3">
      <c r="A438" s="1384"/>
      <c r="B438" s="1082"/>
      <c r="C438" s="1082"/>
      <c r="D438" s="1042" t="str">
        <f t="shared" ref="D438:F451" si="76">D395</f>
        <v>Les Petite Gâteries</v>
      </c>
      <c r="E438" s="1087"/>
      <c r="F438" s="1087"/>
      <c r="G438" s="1043"/>
      <c r="H438" s="1082"/>
      <c r="I438" s="1082"/>
      <c r="J438" s="1082"/>
      <c r="K438" s="1082"/>
      <c r="L438" s="1088"/>
      <c r="M438" s="1089"/>
      <c r="N438" s="1119"/>
    </row>
    <row r="439" spans="1:14" ht="18" x14ac:dyDescent="0.3">
      <c r="A439" s="1384"/>
      <c r="B439" s="1082">
        <f t="shared" ref="B439:C450" si="77">B396</f>
        <v>1</v>
      </c>
      <c r="C439" s="1082">
        <f t="shared" si="77"/>
        <v>1</v>
      </c>
      <c r="D439" s="1082" t="str">
        <f t="shared" si="76"/>
        <v>Petite Gâterie 1</v>
      </c>
      <c r="E439" s="1091">
        <f t="shared" si="76"/>
        <v>1.21</v>
      </c>
      <c r="F439" s="1128">
        <f t="shared" si="76"/>
        <v>3.3</v>
      </c>
      <c r="G439" s="1044">
        <f t="shared" ref="G439:G451" si="78">E439/F439</f>
        <v>0.3666666666666667</v>
      </c>
      <c r="H439" s="1092">
        <f t="shared" ref="H439:H451" si="79">F439-E439</f>
        <v>2.09</v>
      </c>
      <c r="I439" s="1087"/>
      <c r="J439" s="1082"/>
      <c r="K439" s="1082"/>
      <c r="L439" s="1093"/>
      <c r="M439" s="1094"/>
      <c r="N439" s="1115"/>
    </row>
    <row r="440" spans="1:14" ht="18" x14ac:dyDescent="0.3">
      <c r="A440" s="1384"/>
      <c r="B440" s="1082">
        <f t="shared" si="77"/>
        <v>2</v>
      </c>
      <c r="C440" s="1082">
        <f t="shared" si="77"/>
        <v>2</v>
      </c>
      <c r="D440" s="1082" t="str">
        <f t="shared" si="76"/>
        <v>Petite Gâterie 2</v>
      </c>
      <c r="E440" s="1091">
        <f t="shared" si="76"/>
        <v>1.31</v>
      </c>
      <c r="F440" s="1128">
        <f t="shared" si="76"/>
        <v>3.8</v>
      </c>
      <c r="G440" s="1044">
        <f t="shared" si="78"/>
        <v>0.34473684210526317</v>
      </c>
      <c r="H440" s="1092">
        <f t="shared" si="79"/>
        <v>2.4899999999999998</v>
      </c>
      <c r="I440" s="1087"/>
      <c r="J440" s="1082"/>
      <c r="K440" s="1082"/>
      <c r="L440" s="1096"/>
      <c r="M440" s="1094"/>
      <c r="N440" s="1115"/>
    </row>
    <row r="441" spans="1:14" ht="18" x14ac:dyDescent="0.3">
      <c r="A441" s="1384"/>
      <c r="B441" s="1082">
        <f t="shared" si="77"/>
        <v>3</v>
      </c>
      <c r="C441" s="1082">
        <f t="shared" si="77"/>
        <v>3</v>
      </c>
      <c r="D441" s="1082" t="str">
        <f t="shared" si="76"/>
        <v>Petite Gâterie 3</v>
      </c>
      <c r="E441" s="1091">
        <f t="shared" si="76"/>
        <v>1.35</v>
      </c>
      <c r="F441" s="1128">
        <f t="shared" si="76"/>
        <v>4</v>
      </c>
      <c r="G441" s="1044">
        <f t="shared" si="78"/>
        <v>0.33750000000000002</v>
      </c>
      <c r="H441" s="1092">
        <f t="shared" si="79"/>
        <v>2.65</v>
      </c>
      <c r="I441" s="1087"/>
      <c r="J441" s="1082"/>
      <c r="K441" s="1082"/>
      <c r="L441" s="1096"/>
      <c r="M441" s="1094"/>
      <c r="N441" s="1115"/>
    </row>
    <row r="442" spans="1:14" ht="18" x14ac:dyDescent="0.3">
      <c r="A442" s="1384"/>
      <c r="B442" s="1082">
        <f t="shared" si="77"/>
        <v>4</v>
      </c>
      <c r="C442" s="1082">
        <f t="shared" si="77"/>
        <v>4</v>
      </c>
      <c r="D442" s="1082" t="str">
        <f t="shared" si="76"/>
        <v>Petite Gâterie 4</v>
      </c>
      <c r="E442" s="1091">
        <f t="shared" si="76"/>
        <v>1.4</v>
      </c>
      <c r="F442" s="1128">
        <f t="shared" si="76"/>
        <v>4.5</v>
      </c>
      <c r="G442" s="1044">
        <f t="shared" si="78"/>
        <v>0.31111111111111112</v>
      </c>
      <c r="H442" s="1092">
        <f t="shared" si="79"/>
        <v>3.1</v>
      </c>
      <c r="I442" s="1087"/>
      <c r="J442" s="1082"/>
      <c r="K442" s="1082"/>
      <c r="L442" s="1096"/>
      <c r="M442" s="1094"/>
      <c r="N442" s="1115"/>
    </row>
    <row r="443" spans="1:14" ht="18" x14ac:dyDescent="0.3">
      <c r="A443" s="1384"/>
      <c r="B443" s="1082">
        <f t="shared" si="77"/>
        <v>5</v>
      </c>
      <c r="C443" s="1082">
        <f t="shared" si="77"/>
        <v>5</v>
      </c>
      <c r="D443" s="1082" t="str">
        <f t="shared" si="76"/>
        <v>Petite Gâterie 5</v>
      </c>
      <c r="E443" s="1091">
        <f t="shared" si="76"/>
        <v>1.24</v>
      </c>
      <c r="F443" s="1128">
        <f t="shared" si="76"/>
        <v>4.5999999999999996</v>
      </c>
      <c r="G443" s="1044">
        <f t="shared" si="78"/>
        <v>0.26956521739130435</v>
      </c>
      <c r="H443" s="1092">
        <f t="shared" si="79"/>
        <v>3.3599999999999994</v>
      </c>
      <c r="I443" s="1087"/>
      <c r="J443" s="1082"/>
      <c r="K443" s="1082"/>
      <c r="L443" s="1096"/>
      <c r="M443" s="1094"/>
      <c r="N443" s="1115"/>
    </row>
    <row r="444" spans="1:14" ht="18" x14ac:dyDescent="0.3">
      <c r="A444" s="1384"/>
      <c r="B444" s="1082">
        <f t="shared" si="77"/>
        <v>6</v>
      </c>
      <c r="C444" s="1082">
        <f t="shared" si="77"/>
        <v>6</v>
      </c>
      <c r="D444" s="1082" t="str">
        <f t="shared" si="76"/>
        <v>Petite Gâterie 6</v>
      </c>
      <c r="E444" s="1091">
        <f t="shared" si="76"/>
        <v>1.39</v>
      </c>
      <c r="F444" s="1128">
        <f t="shared" si="76"/>
        <v>4.7</v>
      </c>
      <c r="G444" s="1044">
        <f t="shared" si="78"/>
        <v>0.29574468085106381</v>
      </c>
      <c r="H444" s="1092">
        <f t="shared" si="79"/>
        <v>3.3100000000000005</v>
      </c>
      <c r="I444" s="1087"/>
      <c r="J444" s="1082"/>
      <c r="K444" s="1082"/>
      <c r="L444" s="1096"/>
      <c r="M444" s="1094"/>
      <c r="N444" s="1115"/>
    </row>
    <row r="445" spans="1:14" ht="18" x14ac:dyDescent="0.3">
      <c r="A445" s="1384"/>
      <c r="B445" s="1082">
        <f t="shared" si="77"/>
        <v>7</v>
      </c>
      <c r="C445" s="1082">
        <f t="shared" si="77"/>
        <v>7</v>
      </c>
      <c r="D445" s="1082" t="str">
        <f t="shared" si="76"/>
        <v>Petite Gâterie 7</v>
      </c>
      <c r="E445" s="1091">
        <f t="shared" si="76"/>
        <v>1.51</v>
      </c>
      <c r="F445" s="1128">
        <f t="shared" si="76"/>
        <v>4.8</v>
      </c>
      <c r="G445" s="1044">
        <f t="shared" si="78"/>
        <v>0.31458333333333333</v>
      </c>
      <c r="H445" s="1092">
        <f t="shared" si="79"/>
        <v>3.29</v>
      </c>
      <c r="I445" s="1087"/>
      <c r="J445" s="1082"/>
      <c r="K445" s="1082"/>
      <c r="L445" s="1096"/>
      <c r="M445" s="1094"/>
      <c r="N445" s="1115"/>
    </row>
    <row r="446" spans="1:14" ht="18" x14ac:dyDescent="0.3">
      <c r="A446" s="1384"/>
      <c r="B446" s="1082">
        <f t="shared" si="77"/>
        <v>8</v>
      </c>
      <c r="C446" s="1082">
        <f t="shared" si="77"/>
        <v>8</v>
      </c>
      <c r="D446" s="1082" t="str">
        <f t="shared" si="76"/>
        <v>Petite Gâterie 8</v>
      </c>
      <c r="E446" s="1091">
        <f t="shared" si="76"/>
        <v>1.53</v>
      </c>
      <c r="F446" s="1128">
        <f t="shared" si="76"/>
        <v>4.9000000000000004</v>
      </c>
      <c r="G446" s="1044">
        <f t="shared" si="78"/>
        <v>0.31224489795918364</v>
      </c>
      <c r="H446" s="1092">
        <f t="shared" si="79"/>
        <v>3.37</v>
      </c>
      <c r="I446" s="1087"/>
      <c r="J446" s="1082"/>
      <c r="K446" s="1082"/>
      <c r="L446" s="1096"/>
      <c r="M446" s="1094"/>
      <c r="N446" s="1115"/>
    </row>
    <row r="447" spans="1:14" ht="18" x14ac:dyDescent="0.3">
      <c r="A447" s="1384"/>
      <c r="B447" s="1082">
        <f t="shared" si="77"/>
        <v>9</v>
      </c>
      <c r="C447" s="1082">
        <f t="shared" si="77"/>
        <v>9</v>
      </c>
      <c r="D447" s="1082" t="str">
        <f t="shared" si="76"/>
        <v>Petite Gâterie 9</v>
      </c>
      <c r="E447" s="1091">
        <f t="shared" si="76"/>
        <v>1.55</v>
      </c>
      <c r="F447" s="1128">
        <f t="shared" si="76"/>
        <v>5</v>
      </c>
      <c r="G447" s="1044">
        <f t="shared" si="78"/>
        <v>0.31</v>
      </c>
      <c r="H447" s="1092">
        <f t="shared" si="79"/>
        <v>3.45</v>
      </c>
      <c r="I447" s="1087"/>
      <c r="J447" s="1082"/>
      <c r="K447" s="1082"/>
      <c r="L447" s="1096"/>
      <c r="M447" s="1094"/>
      <c r="N447" s="1115"/>
    </row>
    <row r="448" spans="1:14" ht="18" x14ac:dyDescent="0.3">
      <c r="A448" s="1384"/>
      <c r="B448" s="1082">
        <f t="shared" si="77"/>
        <v>10</v>
      </c>
      <c r="C448" s="1082">
        <f t="shared" si="77"/>
        <v>10</v>
      </c>
      <c r="D448" s="1082" t="str">
        <f t="shared" si="76"/>
        <v>Petite Gâterie 10</v>
      </c>
      <c r="E448" s="1091">
        <f t="shared" si="76"/>
        <v>1.59</v>
      </c>
      <c r="F448" s="1128">
        <f t="shared" si="76"/>
        <v>5.2</v>
      </c>
      <c r="G448" s="1044">
        <f t="shared" si="78"/>
        <v>0.30576923076923079</v>
      </c>
      <c r="H448" s="1092">
        <f t="shared" si="79"/>
        <v>3.6100000000000003</v>
      </c>
      <c r="I448" s="1087"/>
      <c r="J448" s="1082"/>
      <c r="K448" s="1082"/>
      <c r="L448" s="1096"/>
      <c r="M448" s="1094"/>
      <c r="N448" s="1115"/>
    </row>
    <row r="449" spans="1:14" ht="18" x14ac:dyDescent="0.3">
      <c r="A449" s="1384"/>
      <c r="B449" s="1082">
        <f t="shared" si="77"/>
        <v>11</v>
      </c>
      <c r="C449" s="1082">
        <f t="shared" si="77"/>
        <v>11</v>
      </c>
      <c r="D449" s="1082" t="str">
        <f t="shared" si="76"/>
        <v>Petite Gâterie 11</v>
      </c>
      <c r="E449" s="1091">
        <f t="shared" si="76"/>
        <v>1.83</v>
      </c>
      <c r="F449" s="1128">
        <f t="shared" si="76"/>
        <v>6.4</v>
      </c>
      <c r="G449" s="1044">
        <f t="shared" si="78"/>
        <v>0.28593750000000001</v>
      </c>
      <c r="H449" s="1092">
        <f t="shared" si="79"/>
        <v>4.57</v>
      </c>
      <c r="I449" s="1087"/>
      <c r="J449" s="1082"/>
      <c r="K449" s="1082"/>
      <c r="L449" s="1096"/>
      <c r="M449" s="1094"/>
      <c r="N449" s="1115"/>
    </row>
    <row r="450" spans="1:14" ht="18" x14ac:dyDescent="0.3">
      <c r="A450" s="1384"/>
      <c r="B450" s="1082">
        <f t="shared" si="77"/>
        <v>12</v>
      </c>
      <c r="C450" s="1082">
        <f t="shared" si="77"/>
        <v>12</v>
      </c>
      <c r="D450" s="1082" t="str">
        <f t="shared" si="76"/>
        <v>Petite Gâterie 12</v>
      </c>
      <c r="E450" s="1091">
        <f t="shared" si="76"/>
        <v>1.87</v>
      </c>
      <c r="F450" s="1128">
        <f t="shared" si="76"/>
        <v>6.6</v>
      </c>
      <c r="G450" s="1044">
        <f t="shared" si="78"/>
        <v>0.28333333333333338</v>
      </c>
      <c r="H450" s="1092">
        <f t="shared" si="79"/>
        <v>4.7299999999999995</v>
      </c>
      <c r="I450" s="1087"/>
      <c r="J450" s="1082"/>
      <c r="K450" s="1082"/>
      <c r="L450" s="1096"/>
      <c r="M450" s="1094"/>
      <c r="N450" s="1115"/>
    </row>
    <row r="451" spans="1:14" ht="19" x14ac:dyDescent="0.35">
      <c r="A451" s="1384"/>
      <c r="B451" s="1082"/>
      <c r="C451" s="1082"/>
      <c r="D451" s="1042" t="str">
        <f t="shared" si="76"/>
        <v>CmO—PmO—Food Cost—BmO</v>
      </c>
      <c r="E451" s="1046">
        <f>SUM(E439:E450)/C450</f>
        <v>1.4816666666666667</v>
      </c>
      <c r="F451" s="1046">
        <f>SUM(F439:F450)/C450</f>
        <v>4.8166666666666673</v>
      </c>
      <c r="G451" s="1047">
        <f t="shared" si="78"/>
        <v>0.30761245674740478</v>
      </c>
      <c r="H451" s="1048">
        <f t="shared" si="79"/>
        <v>3.3350000000000009</v>
      </c>
      <c r="I451" s="1100"/>
      <c r="J451" s="1082"/>
      <c r="K451" s="1082"/>
      <c r="L451" s="1101">
        <f>'Formule pour le calcul D'!V90</f>
        <v>2.15</v>
      </c>
      <c r="M451" s="1094"/>
      <c r="N451" s="1120">
        <f>+L451*M471</f>
        <v>8845.1</v>
      </c>
    </row>
    <row r="452" spans="1:14" ht="18" x14ac:dyDescent="0.3">
      <c r="A452" s="1384"/>
      <c r="B452" s="1082" t="s">
        <v>2</v>
      </c>
      <c r="C452" s="1082"/>
      <c r="D452" s="1082"/>
      <c r="E452" s="1091"/>
      <c r="F452" s="1091"/>
      <c r="G452" s="1044"/>
      <c r="H452" s="1049"/>
      <c r="I452" s="1082"/>
      <c r="J452" s="1082"/>
      <c r="K452" s="1082"/>
      <c r="L452" s="1096"/>
      <c r="M452" s="1094"/>
      <c r="N452" s="1115"/>
    </row>
    <row r="453" spans="1:14" ht="18" x14ac:dyDescent="0.3">
      <c r="A453" s="1384"/>
      <c r="B453" s="1082"/>
      <c r="C453" s="1082"/>
      <c r="D453" s="1042" t="str">
        <f t="shared" ref="D453:F466" si="80">D410</f>
        <v>Les Boissons  Gâteries</v>
      </c>
      <c r="E453" s="1091"/>
      <c r="F453" s="1091"/>
      <c r="G453" s="1044"/>
      <c r="H453" s="1049"/>
      <c r="I453" s="1082"/>
      <c r="J453" s="1082"/>
      <c r="K453" s="1082"/>
      <c r="L453" s="1096"/>
      <c r="M453" s="1094"/>
      <c r="N453" s="1115"/>
    </row>
    <row r="454" spans="1:14" ht="18" x14ac:dyDescent="0.3">
      <c r="A454" s="1384"/>
      <c r="B454" s="1082">
        <f t="shared" ref="B454:C465" si="81">B411</f>
        <v>13</v>
      </c>
      <c r="C454" s="1082">
        <f t="shared" si="81"/>
        <v>1</v>
      </c>
      <c r="D454" s="1082" t="str">
        <f t="shared" si="80"/>
        <v>Boisson spécial numéro 1</v>
      </c>
      <c r="E454" s="1091">
        <f t="shared" si="80"/>
        <v>2.2799999999999998</v>
      </c>
      <c r="F454" s="1128">
        <f t="shared" si="80"/>
        <v>6.6</v>
      </c>
      <c r="G454" s="1044">
        <f>E454/F454</f>
        <v>0.34545454545454546</v>
      </c>
      <c r="H454" s="1092">
        <f>F454-E454</f>
        <v>4.32</v>
      </c>
      <c r="I454" s="1087"/>
      <c r="J454" s="1082"/>
      <c r="K454" s="1082"/>
      <c r="L454" s="1096"/>
      <c r="M454" s="1094"/>
      <c r="N454" s="1115"/>
    </row>
    <row r="455" spans="1:14" ht="18" x14ac:dyDescent="0.3">
      <c r="A455" s="1384"/>
      <c r="B455" s="1082">
        <f t="shared" si="81"/>
        <v>14</v>
      </c>
      <c r="C455" s="1082">
        <f t="shared" si="81"/>
        <v>2</v>
      </c>
      <c r="D455" s="1082" t="str">
        <f t="shared" si="80"/>
        <v>Boisson spécial numéro 2</v>
      </c>
      <c r="E455" s="1091">
        <f t="shared" si="80"/>
        <v>2.66</v>
      </c>
      <c r="F455" s="1128">
        <f t="shared" si="80"/>
        <v>7.6</v>
      </c>
      <c r="G455" s="1044">
        <f>E455/F455</f>
        <v>0.35000000000000003</v>
      </c>
      <c r="H455" s="1092">
        <f>F455-E455</f>
        <v>4.9399999999999995</v>
      </c>
      <c r="I455" s="1087"/>
      <c r="J455" s="1082"/>
      <c r="K455" s="1082"/>
      <c r="L455" s="1096"/>
      <c r="M455" s="1094"/>
      <c r="N455" s="1115"/>
    </row>
    <row r="456" spans="1:14" ht="18" x14ac:dyDescent="0.3">
      <c r="A456" s="1384"/>
      <c r="B456" s="1082">
        <f t="shared" si="81"/>
        <v>15</v>
      </c>
      <c r="C456" s="1082">
        <f t="shared" si="81"/>
        <v>3</v>
      </c>
      <c r="D456" s="1082" t="str">
        <f t="shared" si="80"/>
        <v>Boisson spécial numéro 3</v>
      </c>
      <c r="E456" s="1091">
        <f t="shared" si="80"/>
        <v>2.74</v>
      </c>
      <c r="F456" s="1128">
        <f t="shared" si="80"/>
        <v>8</v>
      </c>
      <c r="G456" s="1044">
        <f>E456/F456</f>
        <v>0.34250000000000003</v>
      </c>
      <c r="H456" s="1092">
        <f>F456-E456</f>
        <v>5.26</v>
      </c>
      <c r="I456" s="1087"/>
      <c r="J456" s="1082"/>
      <c r="K456" s="1082"/>
      <c r="L456" s="1096"/>
      <c r="M456" s="1094"/>
      <c r="N456" s="1115"/>
    </row>
    <row r="457" spans="1:14" ht="18" x14ac:dyDescent="0.3">
      <c r="A457" s="1384"/>
      <c r="B457" s="1082">
        <f t="shared" si="81"/>
        <v>16</v>
      </c>
      <c r="C457" s="1082">
        <f t="shared" si="81"/>
        <v>4</v>
      </c>
      <c r="D457" s="1082" t="str">
        <f t="shared" si="80"/>
        <v>Boisson spécial numéro 4</v>
      </c>
      <c r="E457" s="1091">
        <f t="shared" si="80"/>
        <v>2.72</v>
      </c>
      <c r="F457" s="1128">
        <f t="shared" si="80"/>
        <v>9</v>
      </c>
      <c r="G457" s="1044">
        <f t="shared" ref="G457:G464" si="82">E457/F457</f>
        <v>0.30222222222222223</v>
      </c>
      <c r="H457" s="1092">
        <f t="shared" ref="H457:H464" si="83">F457-E457</f>
        <v>6.2799999999999994</v>
      </c>
      <c r="I457" s="1087"/>
      <c r="J457" s="1082"/>
      <c r="K457" s="1082"/>
      <c r="L457" s="1096"/>
      <c r="M457" s="1094"/>
      <c r="N457" s="1115"/>
    </row>
    <row r="458" spans="1:14" ht="18" x14ac:dyDescent="0.3">
      <c r="A458" s="1384"/>
      <c r="B458" s="1082">
        <f t="shared" si="81"/>
        <v>17</v>
      </c>
      <c r="C458" s="1082">
        <f t="shared" si="81"/>
        <v>5</v>
      </c>
      <c r="D458" s="1082" t="str">
        <f t="shared" si="80"/>
        <v>Boisson spécial numéro 5</v>
      </c>
      <c r="E458" s="1091">
        <f t="shared" si="80"/>
        <v>2.76</v>
      </c>
      <c r="F458" s="1128">
        <f t="shared" si="80"/>
        <v>9.1999999999999993</v>
      </c>
      <c r="G458" s="1044">
        <f t="shared" si="82"/>
        <v>0.3</v>
      </c>
      <c r="H458" s="1092">
        <f t="shared" si="83"/>
        <v>6.4399999999999995</v>
      </c>
      <c r="I458" s="1087"/>
      <c r="J458" s="1082"/>
      <c r="K458" s="1082"/>
      <c r="L458" s="1096"/>
      <c r="M458" s="1094"/>
      <c r="N458" s="1115"/>
    </row>
    <row r="459" spans="1:14" ht="18" x14ac:dyDescent="0.3">
      <c r="A459" s="1384"/>
      <c r="B459" s="1082">
        <f t="shared" si="81"/>
        <v>18</v>
      </c>
      <c r="C459" s="1082">
        <f t="shared" si="81"/>
        <v>6</v>
      </c>
      <c r="D459" s="1082" t="str">
        <f t="shared" si="80"/>
        <v>Boisson spécial numéro 6</v>
      </c>
      <c r="E459" s="1091">
        <f t="shared" si="80"/>
        <v>2.8</v>
      </c>
      <c r="F459" s="1128">
        <f t="shared" si="80"/>
        <v>9.4</v>
      </c>
      <c r="G459" s="1044">
        <f t="shared" si="82"/>
        <v>0.2978723404255319</v>
      </c>
      <c r="H459" s="1092">
        <f t="shared" si="83"/>
        <v>6.6000000000000005</v>
      </c>
      <c r="I459" s="1087"/>
      <c r="J459" s="1082"/>
      <c r="K459" s="1082"/>
      <c r="L459" s="1096"/>
      <c r="M459" s="1094"/>
      <c r="N459" s="1115"/>
    </row>
    <row r="460" spans="1:14" ht="18" x14ac:dyDescent="0.3">
      <c r="A460" s="1384"/>
      <c r="B460" s="1082">
        <f t="shared" si="81"/>
        <v>19</v>
      </c>
      <c r="C460" s="1082">
        <f t="shared" si="81"/>
        <v>7</v>
      </c>
      <c r="D460" s="1082" t="str">
        <f t="shared" si="80"/>
        <v>Boisson spécial numéro 7</v>
      </c>
      <c r="E460" s="1091">
        <f t="shared" si="80"/>
        <v>2.82</v>
      </c>
      <c r="F460" s="1128">
        <f t="shared" si="80"/>
        <v>9.6</v>
      </c>
      <c r="G460" s="1044">
        <f t="shared" si="82"/>
        <v>0.29375000000000001</v>
      </c>
      <c r="H460" s="1092">
        <f t="shared" si="83"/>
        <v>6.7799999999999994</v>
      </c>
      <c r="I460" s="1087"/>
      <c r="J460" s="1082"/>
      <c r="K460" s="1082"/>
      <c r="L460" s="1096"/>
      <c r="M460" s="1094"/>
      <c r="N460" s="1115"/>
    </row>
    <row r="461" spans="1:14" ht="18" x14ac:dyDescent="0.3">
      <c r="A461" s="1384"/>
      <c r="B461" s="1082">
        <f t="shared" si="81"/>
        <v>20</v>
      </c>
      <c r="C461" s="1082">
        <f t="shared" si="81"/>
        <v>8</v>
      </c>
      <c r="D461" s="1082" t="str">
        <f t="shared" si="80"/>
        <v>Boisson spécial numéro 8</v>
      </c>
      <c r="E461" s="1091">
        <f t="shared" si="80"/>
        <v>2.86</v>
      </c>
      <c r="F461" s="1128">
        <f t="shared" si="80"/>
        <v>9.8000000000000007</v>
      </c>
      <c r="G461" s="1044">
        <f t="shared" si="82"/>
        <v>0.2918367346938775</v>
      </c>
      <c r="H461" s="1092">
        <f t="shared" si="83"/>
        <v>6.9400000000000013</v>
      </c>
      <c r="I461" s="1087"/>
      <c r="J461" s="1082"/>
      <c r="K461" s="1082"/>
      <c r="L461" s="1096"/>
      <c r="M461" s="1094"/>
      <c r="N461" s="1115"/>
    </row>
    <row r="462" spans="1:14" ht="18" x14ac:dyDescent="0.3">
      <c r="A462" s="1384"/>
      <c r="B462" s="1082">
        <f t="shared" si="81"/>
        <v>21</v>
      </c>
      <c r="C462" s="1082">
        <f t="shared" si="81"/>
        <v>9</v>
      </c>
      <c r="D462" s="1082" t="str">
        <f t="shared" si="80"/>
        <v>Boisson spécial numéro 9</v>
      </c>
      <c r="E462" s="1091">
        <f t="shared" si="80"/>
        <v>2.9</v>
      </c>
      <c r="F462" s="1128">
        <f t="shared" si="80"/>
        <v>10</v>
      </c>
      <c r="G462" s="1044">
        <f t="shared" si="82"/>
        <v>0.28999999999999998</v>
      </c>
      <c r="H462" s="1092">
        <f t="shared" si="83"/>
        <v>7.1</v>
      </c>
      <c r="I462" s="1087"/>
      <c r="J462" s="1082"/>
      <c r="K462" s="1082"/>
      <c r="L462" s="1096"/>
      <c r="M462" s="1094"/>
      <c r="N462" s="1115"/>
    </row>
    <row r="463" spans="1:14" ht="18" x14ac:dyDescent="0.3">
      <c r="A463" s="1384"/>
      <c r="B463" s="1082">
        <f t="shared" si="81"/>
        <v>22</v>
      </c>
      <c r="C463" s="1082">
        <f t="shared" si="81"/>
        <v>10</v>
      </c>
      <c r="D463" s="1082" t="str">
        <f t="shared" si="80"/>
        <v>Boisson spécial numéro 10</v>
      </c>
      <c r="E463" s="1091">
        <f t="shared" si="80"/>
        <v>2.98</v>
      </c>
      <c r="F463" s="1128">
        <f t="shared" si="80"/>
        <v>10.4</v>
      </c>
      <c r="G463" s="1044">
        <f t="shared" si="82"/>
        <v>0.28653846153846152</v>
      </c>
      <c r="H463" s="1092">
        <f t="shared" si="83"/>
        <v>7.42</v>
      </c>
      <c r="I463" s="1087"/>
      <c r="J463" s="1082"/>
      <c r="K463" s="1082"/>
      <c r="L463" s="1096"/>
      <c r="M463" s="1094"/>
      <c r="N463" s="1115"/>
    </row>
    <row r="464" spans="1:14" ht="18" x14ac:dyDescent="0.3">
      <c r="A464" s="1384"/>
      <c r="B464" s="1082">
        <f t="shared" si="81"/>
        <v>23</v>
      </c>
      <c r="C464" s="1082">
        <f t="shared" si="81"/>
        <v>11</v>
      </c>
      <c r="D464" s="1082" t="str">
        <f t="shared" si="80"/>
        <v>Boisson spécial numéro 11</v>
      </c>
      <c r="E464" s="1091">
        <f t="shared" si="80"/>
        <v>3.18</v>
      </c>
      <c r="F464" s="1128">
        <f t="shared" si="80"/>
        <v>11.6</v>
      </c>
      <c r="G464" s="1044">
        <f t="shared" si="82"/>
        <v>0.27413793103448281</v>
      </c>
      <c r="H464" s="1092">
        <f t="shared" si="83"/>
        <v>8.42</v>
      </c>
      <c r="I464" s="1087"/>
      <c r="J464" s="1082"/>
      <c r="K464" s="1082"/>
      <c r="L464" s="1096"/>
      <c r="M464" s="1094"/>
      <c r="N464" s="1115"/>
    </row>
    <row r="465" spans="1:14" ht="18" x14ac:dyDescent="0.3">
      <c r="A465" s="1384"/>
      <c r="B465" s="1082">
        <f t="shared" si="81"/>
        <v>24</v>
      </c>
      <c r="C465" s="1082">
        <f t="shared" si="81"/>
        <v>12</v>
      </c>
      <c r="D465" s="1082" t="str">
        <f t="shared" si="80"/>
        <v>Boisson spécial numéro 12</v>
      </c>
      <c r="E465" s="1091">
        <f t="shared" si="80"/>
        <v>3.48</v>
      </c>
      <c r="F465" s="1128">
        <f t="shared" si="80"/>
        <v>13.2</v>
      </c>
      <c r="G465" s="1044">
        <f>E465/F465</f>
        <v>0.26363636363636367</v>
      </c>
      <c r="H465" s="1092">
        <f>F465-E465</f>
        <v>9.7199999999999989</v>
      </c>
      <c r="I465" s="1087"/>
      <c r="J465" s="1082"/>
      <c r="K465" s="1082"/>
      <c r="L465" s="1096"/>
      <c r="M465" s="1094"/>
      <c r="N465" s="1115"/>
    </row>
    <row r="466" spans="1:14" ht="19" x14ac:dyDescent="0.35">
      <c r="A466" s="1384"/>
      <c r="B466" s="1082"/>
      <c r="C466" s="1082"/>
      <c r="D466" s="1042" t="str">
        <f t="shared" si="80"/>
        <v>CmO—PmO—Beverage Cost—Marge brute</v>
      </c>
      <c r="E466" s="1046">
        <f>SUM(E454:E465)/C465</f>
        <v>2.8483333333333332</v>
      </c>
      <c r="F466" s="1046">
        <f>SUM(F454:F465)/C465</f>
        <v>9.5333333333333332</v>
      </c>
      <c r="G466" s="1050">
        <f>E466/F466</f>
        <v>0.29877622377622376</v>
      </c>
      <c r="H466" s="1048">
        <f>F466-E466</f>
        <v>6.6850000000000005</v>
      </c>
      <c r="I466" s="1100"/>
      <c r="J466" s="1082"/>
      <c r="K466" s="1082"/>
      <c r="L466" s="1096">
        <f>'Formule pour le calcul D'!AH90</f>
        <v>1.1499999999999999</v>
      </c>
      <c r="M466" s="1094"/>
      <c r="N466" s="1120">
        <f>+L466*M471</f>
        <v>4731.0999999999995</v>
      </c>
    </row>
    <row r="467" spans="1:14" ht="19" thickBot="1" x14ac:dyDescent="0.35">
      <c r="A467" s="1384"/>
      <c r="B467" s="1082"/>
      <c r="C467" s="1082"/>
      <c r="D467" s="1082"/>
      <c r="E467" s="1091"/>
      <c r="F467" s="1091"/>
      <c r="G467" s="1043"/>
      <c r="H467" s="1049"/>
      <c r="I467" s="1082"/>
      <c r="J467" s="1082"/>
      <c r="K467" s="1082"/>
      <c r="L467" s="1096"/>
      <c r="M467" s="1094"/>
      <c r="N467" s="1115"/>
    </row>
    <row r="468" spans="1:14" ht="21" thickTop="1" thickBot="1" x14ac:dyDescent="0.4">
      <c r="A468" s="1384"/>
      <c r="B468" s="1082"/>
      <c r="C468" s="1051"/>
      <c r="D468" s="1052"/>
      <c r="E468" s="1102"/>
      <c r="F468" s="1102"/>
      <c r="G468" s="1053"/>
      <c r="H468" s="1103"/>
      <c r="I468" s="1104"/>
      <c r="J468" s="1082"/>
      <c r="K468" s="1082"/>
      <c r="L468" s="1096"/>
      <c r="M468" s="1094"/>
      <c r="N468" s="1115"/>
    </row>
    <row r="469" spans="1:14" ht="20" thickTop="1" thickBot="1" x14ac:dyDescent="0.35">
      <c r="A469" s="1384"/>
      <c r="B469" s="1082"/>
      <c r="C469" s="1055"/>
      <c r="D469" s="1042"/>
      <c r="E469" s="1105" t="str">
        <f>E426</f>
        <v>CmO</v>
      </c>
      <c r="F469" s="1105" t="str">
        <f>F426</f>
        <v>PmO</v>
      </c>
      <c r="G469" s="1056" t="str">
        <f>G426</f>
        <v>F&amp;BCmO</v>
      </c>
      <c r="H469" s="1106" t="str">
        <f>H426</f>
        <v>BmO</v>
      </c>
      <c r="I469" s="1107"/>
      <c r="J469" s="1082"/>
      <c r="K469" s="1082"/>
      <c r="L469" s="1096"/>
      <c r="M469" s="1094"/>
      <c r="N469" s="1115"/>
    </row>
    <row r="470" spans="1:14" ht="19" thickTop="1" x14ac:dyDescent="0.3">
      <c r="A470" s="1384"/>
      <c r="B470" s="1082"/>
      <c r="C470" s="1055"/>
      <c r="D470" s="1057" t="str">
        <f>D427</f>
        <v>OFFRE TOTALE AVEC LES GÂTERIES ET LES CAFÉS GÂTERIES</v>
      </c>
      <c r="E470" s="1091"/>
      <c r="F470" s="1091"/>
      <c r="G470" s="1043"/>
      <c r="H470" s="1049"/>
      <c r="I470" s="1058"/>
      <c r="J470" s="1082"/>
      <c r="K470" s="1082"/>
      <c r="L470" s="1096"/>
      <c r="M470" s="1094"/>
      <c r="N470" s="1115"/>
    </row>
    <row r="471" spans="1:14" ht="19" x14ac:dyDescent="0.35">
      <c r="A471" s="1384"/>
      <c r="B471" s="1082"/>
      <c r="C471" s="1055"/>
      <c r="D471" s="1042" t="str">
        <f>D428</f>
        <v>CmO—PmO—F&amp;B cost moyen offert—Marge brute</v>
      </c>
      <c r="E471" s="1059">
        <f>+(E439+E440+E441+E442+E443+E444+E445+E446+E447+E448+E449+E450+E454+E455+E456+E457+E458+E459+E460+E461+E462+E463+E464+E465)/B465</f>
        <v>2.1649999999999996</v>
      </c>
      <c r="F471" s="1059">
        <f>+(F439+F440+F441+F442+F443+F444+F445+F446+F447+F448+F449+F450+F454+F455+F456+F457+F458+F459+F460+F461+F462+F463+F464+F465)/B465</f>
        <v>7.1749999999999998</v>
      </c>
      <c r="G471" s="1060">
        <f>E471/F471</f>
        <v>0.30174216027874562</v>
      </c>
      <c r="H471" s="1059">
        <f>F471-E471</f>
        <v>5.01</v>
      </c>
      <c r="I471" s="1108"/>
      <c r="J471" s="1082"/>
      <c r="K471" s="1082"/>
      <c r="L471" s="1096">
        <f>L428</f>
        <v>3</v>
      </c>
      <c r="M471" s="1121">
        <f>'% Occupation'!N19</f>
        <v>4114</v>
      </c>
      <c r="N471" s="1120">
        <f>+N451+N466</f>
        <v>13576.2</v>
      </c>
    </row>
    <row r="472" spans="1:14" ht="18" x14ac:dyDescent="0.3">
      <c r="A472" s="1384"/>
      <c r="B472" s="1082"/>
      <c r="C472" s="1055"/>
      <c r="D472" s="1082"/>
      <c r="E472" s="1109"/>
      <c r="F472" s="1109"/>
      <c r="G472" s="1045"/>
      <c r="H472" s="1062"/>
      <c r="I472" s="1063"/>
      <c r="J472" s="1082"/>
      <c r="K472" s="1082"/>
      <c r="L472" s="1096"/>
      <c r="M472" s="1094"/>
      <c r="N472" s="1115"/>
    </row>
    <row r="473" spans="1:14" ht="19" thickBot="1" x14ac:dyDescent="0.35">
      <c r="A473" s="1384"/>
      <c r="B473" s="1082"/>
      <c r="C473" s="1072"/>
      <c r="D473" s="1073"/>
      <c r="E473" s="1110"/>
      <c r="F473" s="1110"/>
      <c r="G473" s="1074"/>
      <c r="H473" s="1075"/>
      <c r="I473" s="1076"/>
      <c r="J473" s="1082"/>
      <c r="K473" s="1082"/>
      <c r="L473" s="1111"/>
      <c r="M473" s="1112"/>
      <c r="N473" s="1116"/>
    </row>
    <row r="474" spans="1:14" ht="17" thickTop="1" x14ac:dyDescent="0.3">
      <c r="A474" s="1384"/>
      <c r="L474" s="1117"/>
      <c r="M474" s="1118"/>
      <c r="N474" s="589"/>
    </row>
    <row r="475" spans="1:14" ht="23" x14ac:dyDescent="0.3">
      <c r="A475" s="1384"/>
      <c r="D475" s="1038" t="s">
        <v>561</v>
      </c>
      <c r="F475" s="1084"/>
      <c r="L475" s="1117"/>
      <c r="M475" s="1118"/>
      <c r="N475" s="589"/>
    </row>
    <row r="476" spans="1:14" ht="24" thickBot="1" x14ac:dyDescent="0.35">
      <c r="A476" s="1384"/>
      <c r="D476" s="1039"/>
      <c r="L476" s="1117"/>
      <c r="M476" s="1118"/>
      <c r="N476" s="589"/>
    </row>
    <row r="477" spans="1:14" ht="23" customHeight="1" thickTop="1" x14ac:dyDescent="0.25">
      <c r="A477" s="1384"/>
      <c r="D477" s="1039"/>
      <c r="E477" s="1378" t="str">
        <f>E434</f>
        <v>Coûts des ressources alimentaires pour chaque produit offert (voir recettes standardisées)</v>
      </c>
      <c r="F477" s="1378" t="str">
        <f>F434</f>
        <v>Prix de vente par produit offert</v>
      </c>
      <c r="G477" s="1378" t="str">
        <f>G434</f>
        <v xml:space="preserve">« Food &amp; Beverage Cost » </v>
      </c>
      <c r="H477" s="1378" t="str">
        <f>H434</f>
        <v>Marge brute gagnée sur la vente de chaque produit offert</v>
      </c>
      <c r="I477" s="1040"/>
      <c r="L477" s="1369" t="s">
        <v>592</v>
      </c>
      <c r="M477" s="1369" t="s">
        <v>593</v>
      </c>
      <c r="N477" s="1369" t="s">
        <v>594</v>
      </c>
    </row>
    <row r="478" spans="1:14" ht="22" x14ac:dyDescent="0.25">
      <c r="A478" s="1384"/>
      <c r="D478" s="1039"/>
      <c r="E478" s="1379"/>
      <c r="F478" s="1381"/>
      <c r="G478" s="1381"/>
      <c r="H478" s="1381"/>
      <c r="I478" s="1041"/>
      <c r="L478" s="1370"/>
      <c r="M478" s="1372"/>
      <c r="N478" s="1370"/>
    </row>
    <row r="479" spans="1:14" ht="14" customHeight="1" thickBot="1" x14ac:dyDescent="0.2">
      <c r="A479" s="1384"/>
      <c r="E479" s="1380"/>
      <c r="F479" s="1382"/>
      <c r="G479" s="1382"/>
      <c r="H479" s="1382"/>
      <c r="I479" s="1041"/>
      <c r="L479" s="1371"/>
      <c r="M479" s="1373"/>
      <c r="N479" s="1371"/>
    </row>
    <row r="480" spans="1:14" ht="18" thickTop="1" thickBot="1" x14ac:dyDescent="0.35">
      <c r="A480" s="1384"/>
      <c r="B480" s="161" t="s">
        <v>2</v>
      </c>
      <c r="E480" s="1084"/>
      <c r="F480" s="1084"/>
      <c r="G480" s="314"/>
      <c r="L480" s="1117"/>
      <c r="M480" s="1118"/>
      <c r="N480" s="589"/>
    </row>
    <row r="481" spans="1:14" ht="19" thickTop="1" x14ac:dyDescent="0.3">
      <c r="A481" s="1384"/>
      <c r="B481" s="1082"/>
      <c r="C481" s="1082"/>
      <c r="D481" s="1042" t="str">
        <f t="shared" ref="D481:F494" si="84">D438</f>
        <v>Les Petite Gâteries</v>
      </c>
      <c r="E481" s="1087"/>
      <c r="F481" s="1087"/>
      <c r="G481" s="1043"/>
      <c r="H481" s="1082"/>
      <c r="I481" s="1082"/>
      <c r="J481" s="1082"/>
      <c r="K481" s="1082"/>
      <c r="L481" s="1088"/>
      <c r="M481" s="1089"/>
      <c r="N481" s="1119"/>
    </row>
    <row r="482" spans="1:14" ht="18" x14ac:dyDescent="0.3">
      <c r="A482" s="1384"/>
      <c r="B482" s="1082">
        <f t="shared" ref="B482:C493" si="85">B439</f>
        <v>1</v>
      </c>
      <c r="C482" s="1082">
        <f t="shared" si="85"/>
        <v>1</v>
      </c>
      <c r="D482" s="1082" t="str">
        <f t="shared" si="84"/>
        <v>Petite Gâterie 1</v>
      </c>
      <c r="E482" s="1091">
        <f>E439</f>
        <v>1.21</v>
      </c>
      <c r="F482" s="1128">
        <f>F439</f>
        <v>3.3</v>
      </c>
      <c r="G482" s="1044">
        <f t="shared" ref="G482:G494" si="86">E482/F482</f>
        <v>0.3666666666666667</v>
      </c>
      <c r="H482" s="1092">
        <f t="shared" ref="H482:H494" si="87">F482-E482</f>
        <v>2.09</v>
      </c>
      <c r="I482" s="1087"/>
      <c r="J482" s="1082"/>
      <c r="K482" s="1082"/>
      <c r="L482" s="1093"/>
      <c r="M482" s="1094"/>
      <c r="N482" s="1115"/>
    </row>
    <row r="483" spans="1:14" ht="18" x14ac:dyDescent="0.3">
      <c r="A483" s="1384"/>
      <c r="B483" s="1082">
        <f t="shared" si="85"/>
        <v>2</v>
      </c>
      <c r="C483" s="1082">
        <f t="shared" si="85"/>
        <v>2</v>
      </c>
      <c r="D483" s="1082" t="str">
        <f t="shared" si="84"/>
        <v>Petite Gâterie 2</v>
      </c>
      <c r="E483" s="1091">
        <f t="shared" si="84"/>
        <v>1.31</v>
      </c>
      <c r="F483" s="1128">
        <f t="shared" si="84"/>
        <v>3.8</v>
      </c>
      <c r="G483" s="1044">
        <f t="shared" si="86"/>
        <v>0.34473684210526317</v>
      </c>
      <c r="H483" s="1092">
        <f t="shared" si="87"/>
        <v>2.4899999999999998</v>
      </c>
      <c r="I483" s="1087"/>
      <c r="J483" s="1082"/>
      <c r="K483" s="1082"/>
      <c r="L483" s="1096"/>
      <c r="M483" s="1094"/>
      <c r="N483" s="1115"/>
    </row>
    <row r="484" spans="1:14" ht="18" x14ac:dyDescent="0.3">
      <c r="A484" s="1384"/>
      <c r="B484" s="1082">
        <f t="shared" si="85"/>
        <v>3</v>
      </c>
      <c r="C484" s="1082">
        <f t="shared" si="85"/>
        <v>3</v>
      </c>
      <c r="D484" s="1082" t="str">
        <f t="shared" si="84"/>
        <v>Petite Gâterie 3</v>
      </c>
      <c r="E484" s="1091">
        <f t="shared" si="84"/>
        <v>1.35</v>
      </c>
      <c r="F484" s="1128">
        <f t="shared" si="84"/>
        <v>4</v>
      </c>
      <c r="G484" s="1044">
        <f t="shared" si="86"/>
        <v>0.33750000000000002</v>
      </c>
      <c r="H484" s="1092">
        <f t="shared" si="87"/>
        <v>2.65</v>
      </c>
      <c r="I484" s="1087"/>
      <c r="J484" s="1082"/>
      <c r="K484" s="1082"/>
      <c r="L484" s="1096"/>
      <c r="M484" s="1094"/>
      <c r="N484" s="1115"/>
    </row>
    <row r="485" spans="1:14" ht="18" x14ac:dyDescent="0.3">
      <c r="A485" s="1384"/>
      <c r="B485" s="1082">
        <f t="shared" si="85"/>
        <v>4</v>
      </c>
      <c r="C485" s="1082">
        <f t="shared" si="85"/>
        <v>4</v>
      </c>
      <c r="D485" s="1082" t="str">
        <f t="shared" si="84"/>
        <v>Petite Gâterie 4</v>
      </c>
      <c r="E485" s="1091">
        <f t="shared" si="84"/>
        <v>1.4</v>
      </c>
      <c r="F485" s="1128">
        <f t="shared" si="84"/>
        <v>4.5</v>
      </c>
      <c r="G485" s="1044">
        <f t="shared" si="86"/>
        <v>0.31111111111111112</v>
      </c>
      <c r="H485" s="1092">
        <f t="shared" si="87"/>
        <v>3.1</v>
      </c>
      <c r="I485" s="1087"/>
      <c r="J485" s="1082"/>
      <c r="K485" s="1082"/>
      <c r="L485" s="1096"/>
      <c r="M485" s="1094"/>
      <c r="N485" s="1115"/>
    </row>
    <row r="486" spans="1:14" ht="18" x14ac:dyDescent="0.3">
      <c r="A486" s="1384"/>
      <c r="B486" s="1082">
        <f t="shared" si="85"/>
        <v>5</v>
      </c>
      <c r="C486" s="1082">
        <f t="shared" si="85"/>
        <v>5</v>
      </c>
      <c r="D486" s="1082" t="str">
        <f t="shared" si="84"/>
        <v>Petite Gâterie 5</v>
      </c>
      <c r="E486" s="1091">
        <f t="shared" si="84"/>
        <v>1.24</v>
      </c>
      <c r="F486" s="1128">
        <f t="shared" si="84"/>
        <v>4.5999999999999996</v>
      </c>
      <c r="G486" s="1044">
        <f t="shared" si="86"/>
        <v>0.26956521739130435</v>
      </c>
      <c r="H486" s="1092">
        <f t="shared" si="87"/>
        <v>3.3599999999999994</v>
      </c>
      <c r="I486" s="1087"/>
      <c r="J486" s="1082"/>
      <c r="K486" s="1082"/>
      <c r="L486" s="1096"/>
      <c r="M486" s="1094"/>
      <c r="N486" s="1115"/>
    </row>
    <row r="487" spans="1:14" ht="18" x14ac:dyDescent="0.3">
      <c r="A487" s="1384"/>
      <c r="B487" s="1082">
        <f t="shared" si="85"/>
        <v>6</v>
      </c>
      <c r="C487" s="1082">
        <f t="shared" si="85"/>
        <v>6</v>
      </c>
      <c r="D487" s="1082" t="str">
        <f t="shared" si="84"/>
        <v>Petite Gâterie 6</v>
      </c>
      <c r="E487" s="1091">
        <f t="shared" si="84"/>
        <v>1.39</v>
      </c>
      <c r="F487" s="1128">
        <f t="shared" si="84"/>
        <v>4.7</v>
      </c>
      <c r="G487" s="1044">
        <f t="shared" si="86"/>
        <v>0.29574468085106381</v>
      </c>
      <c r="H487" s="1092">
        <f t="shared" si="87"/>
        <v>3.3100000000000005</v>
      </c>
      <c r="I487" s="1087"/>
      <c r="J487" s="1082"/>
      <c r="K487" s="1082"/>
      <c r="L487" s="1096"/>
      <c r="M487" s="1094"/>
      <c r="N487" s="1115"/>
    </row>
    <row r="488" spans="1:14" ht="18" x14ac:dyDescent="0.3">
      <c r="A488" s="1384"/>
      <c r="B488" s="1082">
        <f t="shared" si="85"/>
        <v>7</v>
      </c>
      <c r="C488" s="1082">
        <f t="shared" si="85"/>
        <v>7</v>
      </c>
      <c r="D488" s="1082" t="str">
        <f t="shared" si="84"/>
        <v>Petite Gâterie 7</v>
      </c>
      <c r="E488" s="1091">
        <f t="shared" si="84"/>
        <v>1.51</v>
      </c>
      <c r="F488" s="1128">
        <f t="shared" si="84"/>
        <v>4.8</v>
      </c>
      <c r="G488" s="1044">
        <f t="shared" si="86"/>
        <v>0.31458333333333333</v>
      </c>
      <c r="H488" s="1092">
        <f t="shared" si="87"/>
        <v>3.29</v>
      </c>
      <c r="I488" s="1087"/>
      <c r="J488" s="1082"/>
      <c r="K488" s="1082"/>
      <c r="L488" s="1096"/>
      <c r="M488" s="1094"/>
      <c r="N488" s="1115"/>
    </row>
    <row r="489" spans="1:14" ht="18" x14ac:dyDescent="0.3">
      <c r="A489" s="1384"/>
      <c r="B489" s="1082">
        <f t="shared" si="85"/>
        <v>8</v>
      </c>
      <c r="C489" s="1082">
        <f t="shared" si="85"/>
        <v>8</v>
      </c>
      <c r="D489" s="1082" t="str">
        <f t="shared" si="84"/>
        <v>Petite Gâterie 8</v>
      </c>
      <c r="E489" s="1091">
        <f t="shared" si="84"/>
        <v>1.53</v>
      </c>
      <c r="F489" s="1128">
        <f t="shared" si="84"/>
        <v>4.9000000000000004</v>
      </c>
      <c r="G489" s="1044">
        <f t="shared" si="86"/>
        <v>0.31224489795918364</v>
      </c>
      <c r="H489" s="1092">
        <f t="shared" si="87"/>
        <v>3.37</v>
      </c>
      <c r="I489" s="1087"/>
      <c r="J489" s="1082"/>
      <c r="K489" s="1082"/>
      <c r="L489" s="1096"/>
      <c r="M489" s="1094"/>
      <c r="N489" s="1115"/>
    </row>
    <row r="490" spans="1:14" ht="18" x14ac:dyDescent="0.3">
      <c r="A490" s="1384"/>
      <c r="B490" s="1082">
        <f t="shared" si="85"/>
        <v>9</v>
      </c>
      <c r="C490" s="1082">
        <f t="shared" si="85"/>
        <v>9</v>
      </c>
      <c r="D490" s="1082" t="str">
        <f t="shared" si="84"/>
        <v>Petite Gâterie 9</v>
      </c>
      <c r="E490" s="1091">
        <f t="shared" si="84"/>
        <v>1.55</v>
      </c>
      <c r="F490" s="1128">
        <f t="shared" si="84"/>
        <v>5</v>
      </c>
      <c r="G490" s="1044">
        <f t="shared" si="86"/>
        <v>0.31</v>
      </c>
      <c r="H490" s="1092">
        <f t="shared" si="87"/>
        <v>3.45</v>
      </c>
      <c r="I490" s="1087"/>
      <c r="J490" s="1082"/>
      <c r="K490" s="1082"/>
      <c r="L490" s="1096"/>
      <c r="M490" s="1094"/>
      <c r="N490" s="1115"/>
    </row>
    <row r="491" spans="1:14" ht="18" x14ac:dyDescent="0.3">
      <c r="A491" s="1384"/>
      <c r="B491" s="1082">
        <f t="shared" si="85"/>
        <v>10</v>
      </c>
      <c r="C491" s="1082">
        <f t="shared" si="85"/>
        <v>10</v>
      </c>
      <c r="D491" s="1082" t="str">
        <f t="shared" si="84"/>
        <v>Petite Gâterie 10</v>
      </c>
      <c r="E491" s="1091">
        <f t="shared" si="84"/>
        <v>1.59</v>
      </c>
      <c r="F491" s="1128">
        <f t="shared" si="84"/>
        <v>5.2</v>
      </c>
      <c r="G491" s="1044">
        <f t="shared" si="86"/>
        <v>0.30576923076923079</v>
      </c>
      <c r="H491" s="1092">
        <f t="shared" si="87"/>
        <v>3.6100000000000003</v>
      </c>
      <c r="I491" s="1087"/>
      <c r="J491" s="1082"/>
      <c r="K491" s="1082"/>
      <c r="L491" s="1096"/>
      <c r="M491" s="1094"/>
      <c r="N491" s="1115"/>
    </row>
    <row r="492" spans="1:14" ht="18" x14ac:dyDescent="0.3">
      <c r="A492" s="1384"/>
      <c r="B492" s="1082">
        <f t="shared" si="85"/>
        <v>11</v>
      </c>
      <c r="C492" s="1082">
        <f t="shared" si="85"/>
        <v>11</v>
      </c>
      <c r="D492" s="1082" t="str">
        <f t="shared" si="84"/>
        <v>Petite Gâterie 11</v>
      </c>
      <c r="E492" s="1091">
        <f t="shared" si="84"/>
        <v>1.83</v>
      </c>
      <c r="F492" s="1128">
        <f t="shared" si="84"/>
        <v>6.4</v>
      </c>
      <c r="G492" s="1044">
        <f t="shared" si="86"/>
        <v>0.28593750000000001</v>
      </c>
      <c r="H492" s="1092">
        <f t="shared" si="87"/>
        <v>4.57</v>
      </c>
      <c r="I492" s="1087"/>
      <c r="J492" s="1082"/>
      <c r="K492" s="1082"/>
      <c r="L492" s="1096"/>
      <c r="M492" s="1094"/>
      <c r="N492" s="1115"/>
    </row>
    <row r="493" spans="1:14" ht="18" x14ac:dyDescent="0.3">
      <c r="A493" s="1384"/>
      <c r="B493" s="1082">
        <f t="shared" si="85"/>
        <v>12</v>
      </c>
      <c r="C493" s="1082">
        <f t="shared" si="85"/>
        <v>12</v>
      </c>
      <c r="D493" s="1082" t="str">
        <f t="shared" si="84"/>
        <v>Petite Gâterie 12</v>
      </c>
      <c r="E493" s="1091">
        <f>E450</f>
        <v>1.87</v>
      </c>
      <c r="F493" s="1128">
        <f t="shared" si="84"/>
        <v>6.6</v>
      </c>
      <c r="G493" s="1044">
        <f t="shared" si="86"/>
        <v>0.28333333333333338</v>
      </c>
      <c r="H493" s="1092">
        <f t="shared" si="87"/>
        <v>4.7299999999999995</v>
      </c>
      <c r="I493" s="1087"/>
      <c r="J493" s="1082"/>
      <c r="K493" s="1082"/>
      <c r="L493" s="1096"/>
      <c r="M493" s="1094"/>
      <c r="N493" s="1115"/>
    </row>
    <row r="494" spans="1:14" ht="19" x14ac:dyDescent="0.35">
      <c r="A494" s="1384"/>
      <c r="B494" s="1082"/>
      <c r="C494" s="1082"/>
      <c r="D494" s="1042" t="str">
        <f t="shared" si="84"/>
        <v>CmO—PmO—Food Cost—BmO</v>
      </c>
      <c r="E494" s="1046">
        <f>SUM(E482:E493)/C493</f>
        <v>1.4816666666666667</v>
      </c>
      <c r="F494" s="1046">
        <f>SUM(F482:F493)/C493</f>
        <v>4.8166666666666673</v>
      </c>
      <c r="G494" s="1047">
        <f t="shared" si="86"/>
        <v>0.30761245674740478</v>
      </c>
      <c r="H494" s="1048">
        <f t="shared" si="87"/>
        <v>3.3350000000000009</v>
      </c>
      <c r="I494" s="1100"/>
      <c r="J494" s="1082"/>
      <c r="K494" s="1082"/>
      <c r="L494" s="1101">
        <f>'Formule pour le calcul D'!V98</f>
        <v>2.15</v>
      </c>
      <c r="M494" s="1094"/>
      <c r="N494" s="1120">
        <f>+L494*M514</f>
        <v>9829.7999999999993</v>
      </c>
    </row>
    <row r="495" spans="1:14" ht="18" x14ac:dyDescent="0.3">
      <c r="A495" s="1384"/>
      <c r="B495" s="1082" t="s">
        <v>2</v>
      </c>
      <c r="C495" s="1082"/>
      <c r="D495" s="1082"/>
      <c r="E495" s="1091"/>
      <c r="F495" s="1091"/>
      <c r="G495" s="1044"/>
      <c r="H495" s="1049"/>
      <c r="I495" s="1082"/>
      <c r="J495" s="1082"/>
      <c r="K495" s="1082"/>
      <c r="L495" s="1096"/>
      <c r="M495" s="1094"/>
      <c r="N495" s="1115"/>
    </row>
    <row r="496" spans="1:14" ht="18" x14ac:dyDescent="0.3">
      <c r="A496" s="1384"/>
      <c r="B496" s="1082"/>
      <c r="C496" s="1082"/>
      <c r="D496" s="1042" t="str">
        <f t="shared" ref="D496:F509" si="88">D453</f>
        <v>Les Boissons  Gâteries</v>
      </c>
      <c r="E496" s="1091"/>
      <c r="F496" s="1091"/>
      <c r="G496" s="1044"/>
      <c r="H496" s="1049"/>
      <c r="I496" s="1082"/>
      <c r="J496" s="1082"/>
      <c r="K496" s="1082"/>
      <c r="L496" s="1096"/>
      <c r="M496" s="1094"/>
      <c r="N496" s="1115"/>
    </row>
    <row r="497" spans="1:14" ht="18" x14ac:dyDescent="0.3">
      <c r="A497" s="1384"/>
      <c r="B497" s="1082">
        <f t="shared" ref="B497:C508" si="89">B454</f>
        <v>13</v>
      </c>
      <c r="C497" s="1082">
        <f t="shared" si="89"/>
        <v>1</v>
      </c>
      <c r="D497" s="1082" t="str">
        <f t="shared" si="88"/>
        <v>Boisson spécial numéro 1</v>
      </c>
      <c r="E497" s="1091">
        <f t="shared" si="88"/>
        <v>2.2799999999999998</v>
      </c>
      <c r="F497" s="1128">
        <f t="shared" si="88"/>
        <v>6.6</v>
      </c>
      <c r="G497" s="1044">
        <f>E497/F497</f>
        <v>0.34545454545454546</v>
      </c>
      <c r="H497" s="1092">
        <f>F497-E497</f>
        <v>4.32</v>
      </c>
      <c r="I497" s="1087"/>
      <c r="J497" s="1082"/>
      <c r="K497" s="1082"/>
      <c r="L497" s="1096"/>
      <c r="M497" s="1094"/>
      <c r="N497" s="1115"/>
    </row>
    <row r="498" spans="1:14" ht="18" x14ac:dyDescent="0.3">
      <c r="A498" s="1384"/>
      <c r="B498" s="1082">
        <f t="shared" si="89"/>
        <v>14</v>
      </c>
      <c r="C498" s="1082">
        <f t="shared" si="89"/>
        <v>2</v>
      </c>
      <c r="D498" s="1082" t="str">
        <f t="shared" si="88"/>
        <v>Boisson spécial numéro 2</v>
      </c>
      <c r="E498" s="1091">
        <f t="shared" si="88"/>
        <v>2.66</v>
      </c>
      <c r="F498" s="1128">
        <f t="shared" si="88"/>
        <v>7.6</v>
      </c>
      <c r="G498" s="1044">
        <f>E498/F498</f>
        <v>0.35000000000000003</v>
      </c>
      <c r="H498" s="1092">
        <f>F498-E498</f>
        <v>4.9399999999999995</v>
      </c>
      <c r="I498" s="1087"/>
      <c r="J498" s="1082"/>
      <c r="K498" s="1082"/>
      <c r="L498" s="1096"/>
      <c r="M498" s="1094"/>
      <c r="N498" s="1115"/>
    </row>
    <row r="499" spans="1:14" ht="18" x14ac:dyDescent="0.3">
      <c r="A499" s="1384"/>
      <c r="B499" s="1082">
        <f t="shared" si="89"/>
        <v>15</v>
      </c>
      <c r="C499" s="1082">
        <f t="shared" si="89"/>
        <v>3</v>
      </c>
      <c r="D499" s="1082" t="str">
        <f t="shared" si="88"/>
        <v>Boisson spécial numéro 3</v>
      </c>
      <c r="E499" s="1091">
        <f t="shared" si="88"/>
        <v>2.74</v>
      </c>
      <c r="F499" s="1128">
        <f t="shared" si="88"/>
        <v>8</v>
      </c>
      <c r="G499" s="1044">
        <f>E499/F499</f>
        <v>0.34250000000000003</v>
      </c>
      <c r="H499" s="1092">
        <f>F499-E499</f>
        <v>5.26</v>
      </c>
      <c r="I499" s="1087"/>
      <c r="J499" s="1082"/>
      <c r="K499" s="1082"/>
      <c r="L499" s="1096"/>
      <c r="M499" s="1094"/>
      <c r="N499" s="1115"/>
    </row>
    <row r="500" spans="1:14" ht="18" x14ac:dyDescent="0.3">
      <c r="A500" s="1384"/>
      <c r="B500" s="1082">
        <f t="shared" si="89"/>
        <v>16</v>
      </c>
      <c r="C500" s="1082">
        <f t="shared" si="89"/>
        <v>4</v>
      </c>
      <c r="D500" s="1082" t="str">
        <f t="shared" si="88"/>
        <v>Boisson spécial numéro 4</v>
      </c>
      <c r="E500" s="1091">
        <f t="shared" si="88"/>
        <v>2.72</v>
      </c>
      <c r="F500" s="1128">
        <f t="shared" si="88"/>
        <v>9</v>
      </c>
      <c r="G500" s="1044">
        <f t="shared" ref="G500:G507" si="90">E500/F500</f>
        <v>0.30222222222222223</v>
      </c>
      <c r="H500" s="1092">
        <f t="shared" ref="H500:H507" si="91">F500-E500</f>
        <v>6.2799999999999994</v>
      </c>
      <c r="I500" s="1087"/>
      <c r="J500" s="1082"/>
      <c r="K500" s="1082"/>
      <c r="L500" s="1096"/>
      <c r="M500" s="1094"/>
      <c r="N500" s="1115"/>
    </row>
    <row r="501" spans="1:14" ht="18" x14ac:dyDescent="0.3">
      <c r="A501" s="1384"/>
      <c r="B501" s="1082">
        <f t="shared" si="89"/>
        <v>17</v>
      </c>
      <c r="C501" s="1082">
        <f t="shared" si="89"/>
        <v>5</v>
      </c>
      <c r="D501" s="1082" t="str">
        <f t="shared" si="88"/>
        <v>Boisson spécial numéro 5</v>
      </c>
      <c r="E501" s="1091">
        <f t="shared" si="88"/>
        <v>2.76</v>
      </c>
      <c r="F501" s="1128">
        <f t="shared" si="88"/>
        <v>9.1999999999999993</v>
      </c>
      <c r="G501" s="1044">
        <f t="shared" si="90"/>
        <v>0.3</v>
      </c>
      <c r="H501" s="1092">
        <f t="shared" si="91"/>
        <v>6.4399999999999995</v>
      </c>
      <c r="I501" s="1087"/>
      <c r="J501" s="1082"/>
      <c r="K501" s="1082"/>
      <c r="L501" s="1096"/>
      <c r="M501" s="1094"/>
      <c r="N501" s="1115"/>
    </row>
    <row r="502" spans="1:14" ht="18" x14ac:dyDescent="0.3">
      <c r="A502" s="1384"/>
      <c r="B502" s="1082">
        <f t="shared" si="89"/>
        <v>18</v>
      </c>
      <c r="C502" s="1082">
        <f t="shared" si="89"/>
        <v>6</v>
      </c>
      <c r="D502" s="1082" t="str">
        <f t="shared" si="88"/>
        <v>Boisson spécial numéro 6</v>
      </c>
      <c r="E502" s="1091">
        <f t="shared" si="88"/>
        <v>2.8</v>
      </c>
      <c r="F502" s="1128">
        <f t="shared" si="88"/>
        <v>9.4</v>
      </c>
      <c r="G502" s="1044">
        <f t="shared" si="90"/>
        <v>0.2978723404255319</v>
      </c>
      <c r="H502" s="1092">
        <f t="shared" si="91"/>
        <v>6.6000000000000005</v>
      </c>
      <c r="I502" s="1087"/>
      <c r="J502" s="1082"/>
      <c r="K502" s="1082"/>
      <c r="L502" s="1096"/>
      <c r="M502" s="1094"/>
      <c r="N502" s="1115"/>
    </row>
    <row r="503" spans="1:14" ht="18" x14ac:dyDescent="0.3">
      <c r="A503" s="1384"/>
      <c r="B503" s="1082">
        <f t="shared" si="89"/>
        <v>19</v>
      </c>
      <c r="C503" s="1082">
        <f t="shared" si="89"/>
        <v>7</v>
      </c>
      <c r="D503" s="1082" t="str">
        <f t="shared" si="88"/>
        <v>Boisson spécial numéro 7</v>
      </c>
      <c r="E503" s="1091">
        <f t="shared" si="88"/>
        <v>2.82</v>
      </c>
      <c r="F503" s="1128">
        <f t="shared" si="88"/>
        <v>9.6</v>
      </c>
      <c r="G503" s="1044">
        <f t="shared" si="90"/>
        <v>0.29375000000000001</v>
      </c>
      <c r="H503" s="1092">
        <f t="shared" si="91"/>
        <v>6.7799999999999994</v>
      </c>
      <c r="I503" s="1087"/>
      <c r="J503" s="1082"/>
      <c r="K503" s="1082"/>
      <c r="L503" s="1096"/>
      <c r="M503" s="1094"/>
      <c r="N503" s="1115"/>
    </row>
    <row r="504" spans="1:14" ht="18" x14ac:dyDescent="0.3">
      <c r="A504" s="1384"/>
      <c r="B504" s="1082">
        <f t="shared" si="89"/>
        <v>20</v>
      </c>
      <c r="C504" s="1082">
        <f t="shared" si="89"/>
        <v>8</v>
      </c>
      <c r="D504" s="1082" t="str">
        <f t="shared" si="88"/>
        <v>Boisson spécial numéro 8</v>
      </c>
      <c r="E504" s="1091">
        <f t="shared" si="88"/>
        <v>2.86</v>
      </c>
      <c r="F504" s="1128">
        <f t="shared" si="88"/>
        <v>9.8000000000000007</v>
      </c>
      <c r="G504" s="1044">
        <f t="shared" si="90"/>
        <v>0.2918367346938775</v>
      </c>
      <c r="H504" s="1092">
        <f t="shared" si="91"/>
        <v>6.9400000000000013</v>
      </c>
      <c r="I504" s="1087"/>
      <c r="J504" s="1082"/>
      <c r="K504" s="1082"/>
      <c r="L504" s="1096"/>
      <c r="M504" s="1094"/>
      <c r="N504" s="1115"/>
    </row>
    <row r="505" spans="1:14" ht="18" x14ac:dyDescent="0.3">
      <c r="A505" s="1384"/>
      <c r="B505" s="1082">
        <f t="shared" si="89"/>
        <v>21</v>
      </c>
      <c r="C505" s="1082">
        <f t="shared" si="89"/>
        <v>9</v>
      </c>
      <c r="D505" s="1082" t="str">
        <f t="shared" si="88"/>
        <v>Boisson spécial numéro 9</v>
      </c>
      <c r="E505" s="1091">
        <f t="shared" si="88"/>
        <v>2.9</v>
      </c>
      <c r="F505" s="1128">
        <f t="shared" si="88"/>
        <v>10</v>
      </c>
      <c r="G505" s="1044">
        <f t="shared" si="90"/>
        <v>0.28999999999999998</v>
      </c>
      <c r="H505" s="1092">
        <f t="shared" si="91"/>
        <v>7.1</v>
      </c>
      <c r="I505" s="1087"/>
      <c r="J505" s="1082"/>
      <c r="K505" s="1082"/>
      <c r="L505" s="1096"/>
      <c r="M505" s="1094"/>
      <c r="N505" s="1115"/>
    </row>
    <row r="506" spans="1:14" ht="18" x14ac:dyDescent="0.3">
      <c r="A506" s="1384"/>
      <c r="B506" s="1082">
        <f t="shared" si="89"/>
        <v>22</v>
      </c>
      <c r="C506" s="1082">
        <f t="shared" si="89"/>
        <v>10</v>
      </c>
      <c r="D506" s="1082" t="str">
        <f t="shared" si="88"/>
        <v>Boisson spécial numéro 10</v>
      </c>
      <c r="E506" s="1091">
        <f t="shared" si="88"/>
        <v>2.98</v>
      </c>
      <c r="F506" s="1128">
        <f t="shared" si="88"/>
        <v>10.4</v>
      </c>
      <c r="G506" s="1044">
        <f t="shared" si="90"/>
        <v>0.28653846153846152</v>
      </c>
      <c r="H506" s="1092">
        <f t="shared" si="91"/>
        <v>7.42</v>
      </c>
      <c r="I506" s="1087"/>
      <c r="J506" s="1082"/>
      <c r="K506" s="1082"/>
      <c r="L506" s="1096"/>
      <c r="M506" s="1094"/>
      <c r="N506" s="1115"/>
    </row>
    <row r="507" spans="1:14" ht="18" x14ac:dyDescent="0.3">
      <c r="A507" s="1384"/>
      <c r="B507" s="1082">
        <f t="shared" si="89"/>
        <v>23</v>
      </c>
      <c r="C507" s="1082">
        <f t="shared" si="89"/>
        <v>11</v>
      </c>
      <c r="D507" s="1082" t="str">
        <f t="shared" si="88"/>
        <v>Boisson spécial numéro 11</v>
      </c>
      <c r="E507" s="1091">
        <f t="shared" si="88"/>
        <v>3.18</v>
      </c>
      <c r="F507" s="1128">
        <f t="shared" si="88"/>
        <v>11.6</v>
      </c>
      <c r="G507" s="1044">
        <f t="shared" si="90"/>
        <v>0.27413793103448281</v>
      </c>
      <c r="H507" s="1092">
        <f t="shared" si="91"/>
        <v>8.42</v>
      </c>
      <c r="I507" s="1087"/>
      <c r="J507" s="1082"/>
      <c r="K507" s="1082"/>
      <c r="L507" s="1096"/>
      <c r="M507" s="1094"/>
      <c r="N507" s="1115"/>
    </row>
    <row r="508" spans="1:14" ht="18" x14ac:dyDescent="0.3">
      <c r="A508" s="1384"/>
      <c r="B508" s="1082">
        <f t="shared" si="89"/>
        <v>24</v>
      </c>
      <c r="C508" s="1082">
        <f t="shared" si="89"/>
        <v>12</v>
      </c>
      <c r="D508" s="1082" t="str">
        <f t="shared" si="88"/>
        <v>Boisson spécial numéro 12</v>
      </c>
      <c r="E508" s="1091">
        <f t="shared" si="88"/>
        <v>3.48</v>
      </c>
      <c r="F508" s="1128">
        <f t="shared" si="88"/>
        <v>13.2</v>
      </c>
      <c r="G508" s="1044">
        <f>E508/F508</f>
        <v>0.26363636363636367</v>
      </c>
      <c r="H508" s="1092">
        <f>F508-E508</f>
        <v>9.7199999999999989</v>
      </c>
      <c r="I508" s="1087"/>
      <c r="J508" s="1082"/>
      <c r="K508" s="1082"/>
      <c r="L508" s="1096"/>
      <c r="M508" s="1094"/>
      <c r="N508" s="1115"/>
    </row>
    <row r="509" spans="1:14" ht="19" x14ac:dyDescent="0.35">
      <c r="A509" s="1384"/>
      <c r="B509" s="1082"/>
      <c r="C509" s="1082"/>
      <c r="D509" s="1042" t="str">
        <f t="shared" si="88"/>
        <v>CmO—PmO—Beverage Cost—Marge brute</v>
      </c>
      <c r="E509" s="1046">
        <f>SUM(E497:E508)/C508</f>
        <v>2.8483333333333332</v>
      </c>
      <c r="F509" s="1046">
        <f>SUM(F497:F508)/C508</f>
        <v>9.5333333333333332</v>
      </c>
      <c r="G509" s="1050">
        <f>E509/F509</f>
        <v>0.29877622377622376</v>
      </c>
      <c r="H509" s="1048">
        <f>F509-E509</f>
        <v>6.6850000000000005</v>
      </c>
      <c r="I509" s="1100"/>
      <c r="J509" s="1082"/>
      <c r="K509" s="1082"/>
      <c r="L509" s="1096">
        <f>'Formule pour le calcul D'!AH98</f>
        <v>1.1499999999999999</v>
      </c>
      <c r="M509" s="1094"/>
      <c r="N509" s="1120">
        <f>+L509*M514</f>
        <v>5257.7999999999993</v>
      </c>
    </row>
    <row r="510" spans="1:14" ht="19" thickBot="1" x14ac:dyDescent="0.35">
      <c r="A510" s="1384"/>
      <c r="B510" s="1082"/>
      <c r="C510" s="1082"/>
      <c r="D510" s="1082"/>
      <c r="E510" s="1091"/>
      <c r="F510" s="1091"/>
      <c r="G510" s="1043"/>
      <c r="H510" s="1049"/>
      <c r="I510" s="1082"/>
      <c r="J510" s="1082"/>
      <c r="K510" s="1082"/>
      <c r="L510" s="1096"/>
      <c r="M510" s="1094"/>
      <c r="N510" s="1115"/>
    </row>
    <row r="511" spans="1:14" ht="21" thickTop="1" thickBot="1" x14ac:dyDescent="0.4">
      <c r="A511" s="1384"/>
      <c r="B511" s="1082"/>
      <c r="C511" s="1051"/>
      <c r="D511" s="1052"/>
      <c r="E511" s="1102"/>
      <c r="F511" s="1102"/>
      <c r="G511" s="1053"/>
      <c r="H511" s="1103"/>
      <c r="I511" s="1104"/>
      <c r="J511" s="1082"/>
      <c r="K511" s="1082"/>
      <c r="L511" s="1096"/>
      <c r="M511" s="1094"/>
      <c r="N511" s="1115"/>
    </row>
    <row r="512" spans="1:14" ht="20" thickTop="1" thickBot="1" x14ac:dyDescent="0.35">
      <c r="A512" s="1384"/>
      <c r="B512" s="1082"/>
      <c r="C512" s="1055"/>
      <c r="D512" s="1042"/>
      <c r="E512" s="1105" t="str">
        <f>E469</f>
        <v>CmO</v>
      </c>
      <c r="F512" s="1105" t="str">
        <f>F469</f>
        <v>PmO</v>
      </c>
      <c r="G512" s="1056" t="str">
        <f>G469</f>
        <v>F&amp;BCmO</v>
      </c>
      <c r="H512" s="1106" t="str">
        <f>H469</f>
        <v>BmO</v>
      </c>
      <c r="I512" s="1107"/>
      <c r="J512" s="1082"/>
      <c r="K512" s="1082"/>
      <c r="L512" s="1096"/>
      <c r="M512" s="1094"/>
      <c r="N512" s="1115"/>
    </row>
    <row r="513" spans="1:14" ht="19" thickTop="1" x14ac:dyDescent="0.3">
      <c r="A513" s="1384"/>
      <c r="B513" s="1082"/>
      <c r="C513" s="1055"/>
      <c r="D513" s="1057" t="str">
        <f>D470</f>
        <v>OFFRE TOTALE AVEC LES GÂTERIES ET LES CAFÉS GÂTERIES</v>
      </c>
      <c r="E513" s="1091"/>
      <c r="F513" s="1091"/>
      <c r="G513" s="1043"/>
      <c r="H513" s="1049"/>
      <c r="I513" s="1058"/>
      <c r="J513" s="1082"/>
      <c r="K513" s="1082"/>
      <c r="L513" s="1096"/>
      <c r="M513" s="1094"/>
      <c r="N513" s="1115"/>
    </row>
    <row r="514" spans="1:14" ht="19" x14ac:dyDescent="0.35">
      <c r="A514" s="1384"/>
      <c r="B514" s="1082"/>
      <c r="C514" s="1055"/>
      <c r="D514" s="1042" t="str">
        <f>D471</f>
        <v>CmO—PmO—F&amp;B cost moyen offert—Marge brute</v>
      </c>
      <c r="E514" s="1059">
        <f>+(E482+E483+E484+E485+E486+E487+E488+E489+E490+E491+E492+E493+E497+E498+E499+E500+E501+E502+E503+E504+E505+E506+E507+E508)/B508</f>
        <v>2.1649999999999996</v>
      </c>
      <c r="F514" s="1059">
        <f>+(F482+F483+F484+F485+F486+F487+F488+F489+F490+F491+F492+F493+F497+F498+F499+F500+F501+F502+F503+F504+F505+F506+F507+F508)/B508</f>
        <v>7.1749999999999998</v>
      </c>
      <c r="G514" s="1060">
        <f>E514/F514</f>
        <v>0.30174216027874562</v>
      </c>
      <c r="H514" s="1061">
        <f>F514-E514</f>
        <v>5.01</v>
      </c>
      <c r="I514" s="1108"/>
      <c r="J514" s="1082"/>
      <c r="K514" s="1082"/>
      <c r="L514" s="1096">
        <f>L471</f>
        <v>3</v>
      </c>
      <c r="M514" s="1121">
        <f>'% Occupation'!O19</f>
        <v>4572</v>
      </c>
      <c r="N514" s="1120">
        <f>+N494+N509</f>
        <v>15087.599999999999</v>
      </c>
    </row>
    <row r="515" spans="1:14" ht="18" x14ac:dyDescent="0.3">
      <c r="A515" s="1384"/>
      <c r="B515" s="1082"/>
      <c r="C515" s="1055"/>
      <c r="D515" s="1082"/>
      <c r="E515" s="1109"/>
      <c r="F515" s="1109"/>
      <c r="G515" s="1045"/>
      <c r="H515" s="1062"/>
      <c r="I515" s="1063"/>
      <c r="J515" s="1082"/>
      <c r="K515" s="1082"/>
      <c r="L515" s="1096"/>
      <c r="M515" s="1094"/>
      <c r="N515" s="1115"/>
    </row>
    <row r="516" spans="1:14" ht="19" thickBot="1" x14ac:dyDescent="0.35">
      <c r="A516" s="1385"/>
      <c r="B516" s="1082"/>
      <c r="C516" s="1072"/>
      <c r="D516" s="1073"/>
      <c r="E516" s="1110"/>
      <c r="F516" s="1110"/>
      <c r="G516" s="1074"/>
      <c r="H516" s="1075"/>
      <c r="I516" s="1076"/>
      <c r="J516" s="1082"/>
      <c r="K516" s="1082"/>
      <c r="L516" s="1111"/>
      <c r="M516" s="1112"/>
      <c r="N516" s="1116"/>
    </row>
    <row r="517" spans="1:14" ht="17" thickTop="1" x14ac:dyDescent="0.3">
      <c r="L517" s="1117"/>
      <c r="M517" s="1118"/>
      <c r="N517" s="589"/>
    </row>
    <row r="518" spans="1:14" ht="23" x14ac:dyDescent="0.3">
      <c r="D518" s="1038" t="s">
        <v>562</v>
      </c>
      <c r="F518" s="1084"/>
      <c r="L518" s="1117"/>
      <c r="M518" s="1118"/>
      <c r="N518" s="589"/>
    </row>
    <row r="519" spans="1:14" ht="24" thickBot="1" x14ac:dyDescent="0.35">
      <c r="D519" s="1039"/>
      <c r="L519" s="1117"/>
      <c r="M519" s="1118"/>
      <c r="N519" s="589"/>
    </row>
    <row r="520" spans="1:14" ht="23" customHeight="1" thickTop="1" x14ac:dyDescent="0.25">
      <c r="D520" s="1039"/>
      <c r="E520" s="1378" t="str">
        <f>E477</f>
        <v>Coûts des ressources alimentaires pour chaque produit offert (voir recettes standardisées)</v>
      </c>
      <c r="F520" s="1378" t="str">
        <f>F477</f>
        <v>Prix de vente par produit offert</v>
      </c>
      <c r="G520" s="1378" t="str">
        <f>G477</f>
        <v xml:space="preserve">« Food &amp; Beverage Cost » </v>
      </c>
      <c r="H520" s="1378" t="str">
        <f>H477</f>
        <v>Marge brute gagnée sur la vente de chaque produit offert</v>
      </c>
      <c r="I520" s="1040"/>
      <c r="L520" s="1369" t="s">
        <v>592</v>
      </c>
      <c r="M520" s="1369" t="s">
        <v>593</v>
      </c>
      <c r="N520" s="1369" t="s">
        <v>594</v>
      </c>
    </row>
    <row r="521" spans="1:14" ht="22" x14ac:dyDescent="0.25">
      <c r="D521" s="1039"/>
      <c r="E521" s="1379"/>
      <c r="F521" s="1381"/>
      <c r="G521" s="1381"/>
      <c r="H521" s="1381"/>
      <c r="I521" s="1041"/>
      <c r="L521" s="1370"/>
      <c r="M521" s="1372"/>
      <c r="N521" s="1370"/>
    </row>
    <row r="522" spans="1:14" ht="14" customHeight="1" thickBot="1" x14ac:dyDescent="0.2">
      <c r="E522" s="1380"/>
      <c r="F522" s="1382"/>
      <c r="G522" s="1382"/>
      <c r="H522" s="1382"/>
      <c r="I522" s="1041"/>
      <c r="L522" s="1371"/>
      <c r="M522" s="1373"/>
      <c r="N522" s="1371"/>
    </row>
    <row r="523" spans="1:14" ht="18" thickTop="1" thickBot="1" x14ac:dyDescent="0.35">
      <c r="B523" s="161" t="s">
        <v>2</v>
      </c>
      <c r="E523" s="1084"/>
      <c r="F523" s="1084"/>
      <c r="G523" s="314"/>
      <c r="L523" s="1117"/>
      <c r="M523" s="1118"/>
      <c r="N523" s="589"/>
    </row>
    <row r="524" spans="1:14" ht="19" thickTop="1" x14ac:dyDescent="0.3">
      <c r="B524" s="1082"/>
      <c r="C524" s="1082"/>
      <c r="D524" s="1042" t="str">
        <f t="shared" ref="D524:D537" si="92">D481</f>
        <v>Les Petite Gâteries</v>
      </c>
      <c r="E524" s="1087"/>
      <c r="F524" s="1087"/>
      <c r="G524" s="1043"/>
      <c r="H524" s="1082"/>
      <c r="I524" s="1082"/>
      <c r="J524" s="1082"/>
      <c r="K524" s="1082"/>
      <c r="L524" s="1088"/>
      <c r="M524" s="1089"/>
      <c r="N524" s="1119"/>
    </row>
    <row r="525" spans="1:14" ht="18" x14ac:dyDescent="0.3">
      <c r="B525" s="1082">
        <f t="shared" ref="B525:C536" si="93">B482</f>
        <v>1</v>
      </c>
      <c r="C525" s="1082">
        <f t="shared" si="93"/>
        <v>1</v>
      </c>
      <c r="D525" s="1082" t="str">
        <f t="shared" si="92"/>
        <v>Petite Gâterie 1</v>
      </c>
      <c r="E525" s="1091">
        <f>(E9+E52+E95+E138+E181+E224+E267+E310+E353+E396+E439+E482)/12</f>
        <v>1.2100000000000002</v>
      </c>
      <c r="F525" s="1131">
        <f>(F9+F52+F95+F138+F181+F224+F267+F310+F353+F396+F439+F482)/12</f>
        <v>3.2999999999999994</v>
      </c>
      <c r="G525" s="1044">
        <f t="shared" ref="G525:G537" si="94">E525/F525</f>
        <v>0.36666666666666681</v>
      </c>
      <c r="H525" s="1092">
        <f t="shared" ref="H525:H537" si="95">F525-E525</f>
        <v>2.089999999999999</v>
      </c>
      <c r="I525" s="1087">
        <f>F525</f>
        <v>3.2999999999999994</v>
      </c>
      <c r="J525" s="1374">
        <f>3/12</f>
        <v>0.25</v>
      </c>
      <c r="K525" s="1081"/>
      <c r="L525" s="1093"/>
      <c r="M525" s="1094"/>
      <c r="N525" s="1115"/>
    </row>
    <row r="526" spans="1:14" ht="18" x14ac:dyDescent="0.3">
      <c r="B526" s="1082">
        <f t="shared" si="93"/>
        <v>2</v>
      </c>
      <c r="C526" s="1082">
        <f t="shared" si="93"/>
        <v>2</v>
      </c>
      <c r="D526" s="1082" t="str">
        <f t="shared" si="92"/>
        <v>Petite Gâterie 2</v>
      </c>
      <c r="E526" s="1091">
        <f t="shared" ref="E526:F536" si="96">(E10+E53+E96+E139+E182+E225+E268+E311+E354+E397+E440+E483)/12</f>
        <v>1.3100000000000003</v>
      </c>
      <c r="F526" s="1131">
        <f>(F10+F53+F96+F139+F182+F225+F268+F311+F354+F397+F440+F483)/12</f>
        <v>3.7999999999999994</v>
      </c>
      <c r="G526" s="1044">
        <f t="shared" si="94"/>
        <v>0.34473684210526329</v>
      </c>
      <c r="H526" s="1092">
        <f t="shared" si="95"/>
        <v>2.4899999999999993</v>
      </c>
      <c r="I526" s="1087"/>
      <c r="J526" s="1375"/>
      <c r="K526" s="1080"/>
      <c r="L526" s="1096"/>
      <c r="M526" s="1094"/>
      <c r="N526" s="1115"/>
    </row>
    <row r="527" spans="1:14" ht="19" thickBot="1" x14ac:dyDescent="0.35">
      <c r="B527" s="1070">
        <f t="shared" si="93"/>
        <v>3</v>
      </c>
      <c r="C527" s="1070">
        <f t="shared" si="93"/>
        <v>3</v>
      </c>
      <c r="D527" s="1070" t="str">
        <f t="shared" si="92"/>
        <v>Petite Gâterie 3</v>
      </c>
      <c r="E527" s="1097">
        <f t="shared" si="96"/>
        <v>1.3499999999999999</v>
      </c>
      <c r="F527" s="1132">
        <f t="shared" si="96"/>
        <v>4</v>
      </c>
      <c r="G527" s="1071">
        <f t="shared" si="94"/>
        <v>0.33749999999999997</v>
      </c>
      <c r="H527" s="1098">
        <f t="shared" si="95"/>
        <v>2.6500000000000004</v>
      </c>
      <c r="I527" s="1099">
        <f>+I525+1.073333</f>
        <v>4.3733329999999997</v>
      </c>
      <c r="J527" s="1376"/>
      <c r="K527" s="1080"/>
      <c r="L527" s="1096"/>
      <c r="M527" s="1094"/>
      <c r="N527" s="1115"/>
    </row>
    <row r="528" spans="1:14" ht="18" x14ac:dyDescent="0.3">
      <c r="B528" s="1082">
        <f t="shared" si="93"/>
        <v>4</v>
      </c>
      <c r="C528" s="1082">
        <f t="shared" si="93"/>
        <v>4</v>
      </c>
      <c r="D528" s="1082" t="str">
        <f t="shared" si="92"/>
        <v>Petite Gâterie 4</v>
      </c>
      <c r="E528" s="1091">
        <f t="shared" si="96"/>
        <v>1.4000000000000001</v>
      </c>
      <c r="F528" s="1131">
        <f t="shared" si="96"/>
        <v>4.5</v>
      </c>
      <c r="G528" s="1044">
        <f t="shared" si="94"/>
        <v>0.31111111111111112</v>
      </c>
      <c r="H528" s="1092">
        <f t="shared" si="95"/>
        <v>3.0999999999999996</v>
      </c>
      <c r="I528" s="1087">
        <f>+I527+0.01</f>
        <v>4.3833329999999995</v>
      </c>
      <c r="J528" s="1377">
        <f>7/12</f>
        <v>0.58333333333333337</v>
      </c>
      <c r="K528" s="1081"/>
      <c r="L528" s="1096"/>
      <c r="M528" s="1094"/>
      <c r="N528" s="1115"/>
    </row>
    <row r="529" spans="2:14" ht="18" x14ac:dyDescent="0.3">
      <c r="B529" s="1082">
        <f t="shared" si="93"/>
        <v>5</v>
      </c>
      <c r="C529" s="1082">
        <f t="shared" si="93"/>
        <v>5</v>
      </c>
      <c r="D529" s="1082" t="str">
        <f t="shared" si="92"/>
        <v>Petite Gâterie 5</v>
      </c>
      <c r="E529" s="1091">
        <f t="shared" si="96"/>
        <v>1.24</v>
      </c>
      <c r="F529" s="1131">
        <f t="shared" si="96"/>
        <v>4.6000000000000005</v>
      </c>
      <c r="G529" s="1044">
        <f t="shared" si="94"/>
        <v>0.26956521739130429</v>
      </c>
      <c r="H529" s="1092">
        <f t="shared" si="95"/>
        <v>3.3600000000000003</v>
      </c>
      <c r="I529" s="1087"/>
      <c r="J529" s="1375"/>
      <c r="K529" s="1080"/>
      <c r="L529" s="1096"/>
      <c r="M529" s="1094"/>
      <c r="N529" s="1115"/>
    </row>
    <row r="530" spans="2:14" ht="18" x14ac:dyDescent="0.3">
      <c r="B530" s="1082">
        <f t="shared" si="93"/>
        <v>6</v>
      </c>
      <c r="C530" s="1082">
        <f t="shared" si="93"/>
        <v>6</v>
      </c>
      <c r="D530" s="1082" t="str">
        <f t="shared" si="92"/>
        <v>Petite Gâterie 6</v>
      </c>
      <c r="E530" s="1091">
        <f t="shared" si="96"/>
        <v>1.3900000000000003</v>
      </c>
      <c r="F530" s="1131">
        <f t="shared" si="96"/>
        <v>4.7000000000000011</v>
      </c>
      <c r="G530" s="1044">
        <f t="shared" si="94"/>
        <v>0.29574468085106381</v>
      </c>
      <c r="H530" s="1092">
        <f t="shared" si="95"/>
        <v>3.3100000000000005</v>
      </c>
      <c r="I530" s="1087"/>
      <c r="J530" s="1375"/>
      <c r="K530" s="1080"/>
      <c r="L530" s="1096"/>
      <c r="M530" s="1094"/>
      <c r="N530" s="1115"/>
    </row>
    <row r="531" spans="2:14" ht="18" x14ac:dyDescent="0.3">
      <c r="B531" s="1082">
        <f t="shared" si="93"/>
        <v>7</v>
      </c>
      <c r="C531" s="1082">
        <f t="shared" si="93"/>
        <v>7</v>
      </c>
      <c r="D531" s="1082" t="str">
        <f t="shared" si="92"/>
        <v>Petite Gâterie 7</v>
      </c>
      <c r="E531" s="1091">
        <f t="shared" si="96"/>
        <v>1.51</v>
      </c>
      <c r="F531" s="1131">
        <f t="shared" si="96"/>
        <v>4.7999999999999989</v>
      </c>
      <c r="G531" s="1044">
        <f t="shared" si="94"/>
        <v>0.31458333333333338</v>
      </c>
      <c r="H531" s="1092">
        <f t="shared" si="95"/>
        <v>3.2899999999999991</v>
      </c>
      <c r="I531" s="1087"/>
      <c r="J531" s="1375"/>
      <c r="K531" s="1080"/>
      <c r="L531" s="1096"/>
      <c r="M531" s="1094"/>
      <c r="N531" s="1115"/>
    </row>
    <row r="532" spans="2:14" ht="18" x14ac:dyDescent="0.3">
      <c r="B532" s="1082">
        <f t="shared" si="93"/>
        <v>8</v>
      </c>
      <c r="C532" s="1082">
        <f t="shared" si="93"/>
        <v>8</v>
      </c>
      <c r="D532" s="1082" t="str">
        <f t="shared" si="92"/>
        <v>Petite Gâterie 8</v>
      </c>
      <c r="E532" s="1091">
        <f t="shared" si="96"/>
        <v>1.53</v>
      </c>
      <c r="F532" s="1131">
        <f t="shared" si="96"/>
        <v>4.8999999999999995</v>
      </c>
      <c r="G532" s="1044">
        <f t="shared" si="94"/>
        <v>0.3122448979591837</v>
      </c>
      <c r="H532" s="1092">
        <f t="shared" si="95"/>
        <v>3.3699999999999992</v>
      </c>
      <c r="I532" s="1087"/>
      <c r="J532" s="1375"/>
      <c r="K532" s="1080"/>
      <c r="L532" s="1096"/>
      <c r="M532" s="1094"/>
      <c r="N532" s="1115"/>
    </row>
    <row r="533" spans="2:14" ht="18" x14ac:dyDescent="0.3">
      <c r="B533" s="1082">
        <f t="shared" si="93"/>
        <v>9</v>
      </c>
      <c r="C533" s="1082">
        <f t="shared" si="93"/>
        <v>9</v>
      </c>
      <c r="D533" s="1082" t="str">
        <f t="shared" si="92"/>
        <v>Petite Gâterie 9</v>
      </c>
      <c r="E533" s="1091">
        <f t="shared" si="96"/>
        <v>1.5500000000000005</v>
      </c>
      <c r="F533" s="1131">
        <f t="shared" si="96"/>
        <v>5</v>
      </c>
      <c r="G533" s="1044">
        <f t="shared" si="94"/>
        <v>0.31000000000000011</v>
      </c>
      <c r="H533" s="1092">
        <f t="shared" si="95"/>
        <v>3.4499999999999993</v>
      </c>
      <c r="I533" s="1087"/>
      <c r="J533" s="1375"/>
      <c r="K533" s="1080"/>
      <c r="L533" s="1096"/>
      <c r="M533" s="1094"/>
      <c r="N533" s="1115"/>
    </row>
    <row r="534" spans="2:14" ht="19" thickBot="1" x14ac:dyDescent="0.35">
      <c r="B534" s="1070">
        <f t="shared" si="93"/>
        <v>10</v>
      </c>
      <c r="C534" s="1070">
        <f t="shared" si="93"/>
        <v>10</v>
      </c>
      <c r="D534" s="1070" t="str">
        <f t="shared" si="92"/>
        <v>Petite Gâterie 10</v>
      </c>
      <c r="E534" s="1097">
        <f t="shared" si="96"/>
        <v>1.59</v>
      </c>
      <c r="F534" s="1132">
        <f t="shared" si="96"/>
        <v>5.2000000000000011</v>
      </c>
      <c r="G534" s="1071">
        <f t="shared" si="94"/>
        <v>0.30576923076923074</v>
      </c>
      <c r="H534" s="1098">
        <f t="shared" si="95"/>
        <v>3.6100000000000012</v>
      </c>
      <c r="I534" s="1099">
        <f>+I527+1.073333</f>
        <v>5.4466659999999996</v>
      </c>
      <c r="J534" s="1376"/>
      <c r="K534" s="1080"/>
      <c r="L534" s="1096"/>
      <c r="M534" s="1094"/>
      <c r="N534" s="1115"/>
    </row>
    <row r="535" spans="2:14" ht="18" x14ac:dyDescent="0.3">
      <c r="B535" s="1082">
        <f t="shared" si="93"/>
        <v>11</v>
      </c>
      <c r="C535" s="1082">
        <f t="shared" si="93"/>
        <v>11</v>
      </c>
      <c r="D535" s="1082" t="str">
        <f t="shared" si="92"/>
        <v>Petite Gâterie 11</v>
      </c>
      <c r="E535" s="1091">
        <f t="shared" si="96"/>
        <v>1.8299999999999994</v>
      </c>
      <c r="F535" s="1131">
        <f t="shared" si="96"/>
        <v>6.3999999999999995</v>
      </c>
      <c r="G535" s="1044">
        <f t="shared" si="94"/>
        <v>0.28593749999999996</v>
      </c>
      <c r="H535" s="1092">
        <f t="shared" si="95"/>
        <v>4.57</v>
      </c>
      <c r="I535" s="1087">
        <f>+I534+0.01</f>
        <v>5.4566659999999994</v>
      </c>
      <c r="J535" s="1377">
        <f>2/12</f>
        <v>0.16666666666666666</v>
      </c>
      <c r="K535" s="1081"/>
      <c r="L535" s="1096"/>
      <c r="M535" s="1094"/>
      <c r="N535" s="1115"/>
    </row>
    <row r="536" spans="2:14" ht="18" x14ac:dyDescent="0.3">
      <c r="B536" s="1082">
        <f t="shared" si="93"/>
        <v>12</v>
      </c>
      <c r="C536" s="1082">
        <f t="shared" si="93"/>
        <v>12</v>
      </c>
      <c r="D536" s="1082" t="str">
        <f t="shared" si="92"/>
        <v>Petite Gâterie 12</v>
      </c>
      <c r="E536" s="1091">
        <f t="shared" si="96"/>
        <v>1.8700000000000008</v>
      </c>
      <c r="F536" s="1131">
        <f t="shared" si="96"/>
        <v>6.5999999999999988</v>
      </c>
      <c r="G536" s="1044">
        <f t="shared" si="94"/>
        <v>0.28333333333333349</v>
      </c>
      <c r="H536" s="1092">
        <f t="shared" si="95"/>
        <v>4.7299999999999978</v>
      </c>
      <c r="I536" s="1087">
        <f>F536</f>
        <v>6.5999999999999988</v>
      </c>
      <c r="J536" s="1375"/>
      <c r="K536" s="1080"/>
      <c r="L536" s="1096"/>
      <c r="M536" s="1094"/>
      <c r="N536" s="1115"/>
    </row>
    <row r="537" spans="2:14" ht="19" x14ac:dyDescent="0.35">
      <c r="B537" s="1082"/>
      <c r="C537" s="1082"/>
      <c r="D537" s="1042" t="str">
        <f t="shared" si="92"/>
        <v>CmO—PmO—Food Cost—BmO</v>
      </c>
      <c r="E537" s="1046">
        <f>SUM(E525:E536)/C536</f>
        <v>1.4816666666666667</v>
      </c>
      <c r="F537" s="1059">
        <f>SUM(F525:F536)/C536</f>
        <v>4.8166666666666664</v>
      </c>
      <c r="G537" s="1047">
        <f t="shared" si="94"/>
        <v>0.30761245674740484</v>
      </c>
      <c r="H537" s="1048">
        <f t="shared" si="95"/>
        <v>3.335</v>
      </c>
      <c r="I537" s="1100"/>
      <c r="J537" s="1082"/>
      <c r="K537" s="1082"/>
      <c r="L537" s="1137">
        <f>+N537/M557</f>
        <v>2.0775413461538461</v>
      </c>
      <c r="M537" s="1094"/>
      <c r="N537" s="1120">
        <f>+N21+N64+N107+N150+N193+N236+N279+N322+N365+N408+N451+N494</f>
        <v>108032.15000000001</v>
      </c>
    </row>
    <row r="538" spans="2:14" ht="18" x14ac:dyDescent="0.3">
      <c r="B538" s="1082" t="s">
        <v>2</v>
      </c>
      <c r="C538" s="1082"/>
      <c r="D538" s="1082"/>
      <c r="E538" s="1091"/>
      <c r="F538" s="1091"/>
      <c r="G538" s="1044"/>
      <c r="H538" s="1049"/>
      <c r="I538" s="1087"/>
      <c r="J538" s="1082"/>
      <c r="K538" s="1082"/>
      <c r="L538" s="1096"/>
      <c r="M538" s="1094"/>
      <c r="N538" s="1115"/>
    </row>
    <row r="539" spans="2:14" ht="18" x14ac:dyDescent="0.3">
      <c r="B539" s="1082"/>
      <c r="C539" s="1082"/>
      <c r="D539" s="1042" t="str">
        <f t="shared" ref="D539:D552" si="97">D496</f>
        <v>Les Boissons  Gâteries</v>
      </c>
      <c r="E539" s="1091"/>
      <c r="F539" s="1091"/>
      <c r="G539" s="1044"/>
      <c r="H539" s="1049"/>
      <c r="I539" s="1087"/>
      <c r="J539" s="1082"/>
      <c r="K539" s="1082"/>
      <c r="L539" s="1096"/>
      <c r="M539" s="1094"/>
      <c r="N539" s="1115"/>
    </row>
    <row r="540" spans="2:14" ht="18" x14ac:dyDescent="0.3">
      <c r="B540" s="1082">
        <f t="shared" ref="B540:C551" si="98">B497</f>
        <v>13</v>
      </c>
      <c r="C540" s="1082">
        <f t="shared" si="98"/>
        <v>1</v>
      </c>
      <c r="D540" s="1082" t="str">
        <f t="shared" si="97"/>
        <v>Boisson spécial numéro 1</v>
      </c>
      <c r="E540" s="1091">
        <f>(E24+E67+E110+E153+E196+E239+E282+E325+E368+E411+E454+E497)/12</f>
        <v>2.2800000000000002</v>
      </c>
      <c r="F540" s="1131">
        <f t="shared" ref="F540:F551" si="99">(F24+F67+F110+F153+F196+F239+F282+F325+F368+F411+F454+F497)/12</f>
        <v>6.5999999999999988</v>
      </c>
      <c r="G540" s="1044">
        <f>E540/F540</f>
        <v>0.34545454545454557</v>
      </c>
      <c r="H540" s="1092">
        <f>F540-E540</f>
        <v>4.3199999999999985</v>
      </c>
      <c r="I540" s="1087">
        <f>F540</f>
        <v>6.5999999999999988</v>
      </c>
      <c r="J540" s="1374">
        <f>3/12</f>
        <v>0.25</v>
      </c>
      <c r="K540" s="1081"/>
      <c r="L540" s="1096"/>
      <c r="M540" s="1094"/>
      <c r="N540" s="1115"/>
    </row>
    <row r="541" spans="2:14" ht="18" x14ac:dyDescent="0.3">
      <c r="B541" s="1082">
        <f t="shared" si="98"/>
        <v>14</v>
      </c>
      <c r="C541" s="1082">
        <f t="shared" si="98"/>
        <v>2</v>
      </c>
      <c r="D541" s="1082" t="str">
        <f t="shared" si="97"/>
        <v>Boisson spécial numéro 2</v>
      </c>
      <c r="E541" s="1091">
        <f t="shared" ref="E541:E551" si="100">(E25+E68+E111+E154+E197+E240+E283+E326+E369+E412+E455+E498)/12</f>
        <v>2.66</v>
      </c>
      <c r="F541" s="1128">
        <f t="shared" si="99"/>
        <v>7.5999999999999988</v>
      </c>
      <c r="G541" s="1044">
        <f>E541/F541</f>
        <v>0.35000000000000009</v>
      </c>
      <c r="H541" s="1092">
        <f>F541-E541</f>
        <v>4.9399999999999986</v>
      </c>
      <c r="I541" s="1087"/>
      <c r="J541" s="1375"/>
      <c r="K541" s="1080"/>
      <c r="L541" s="1096"/>
      <c r="M541" s="1094"/>
      <c r="N541" s="1115"/>
    </row>
    <row r="542" spans="2:14" ht="19" thickBot="1" x14ac:dyDescent="0.35">
      <c r="B542" s="1070">
        <f t="shared" si="98"/>
        <v>15</v>
      </c>
      <c r="C542" s="1070">
        <f t="shared" si="98"/>
        <v>3</v>
      </c>
      <c r="D542" s="1070" t="str">
        <f t="shared" si="97"/>
        <v>Boisson spécial numéro 3</v>
      </c>
      <c r="E542" s="1097">
        <f t="shared" si="100"/>
        <v>2.7400000000000007</v>
      </c>
      <c r="F542" s="1129">
        <f t="shared" si="99"/>
        <v>8</v>
      </c>
      <c r="G542" s="1071">
        <f>E542/F542</f>
        <v>0.34250000000000008</v>
      </c>
      <c r="H542" s="1098">
        <f>F542-E542</f>
        <v>5.26</v>
      </c>
      <c r="I542" s="1099">
        <f>+I540+2.15</f>
        <v>8.7499999999999982</v>
      </c>
      <c r="J542" s="1376"/>
      <c r="K542" s="1080"/>
      <c r="L542" s="1096"/>
      <c r="M542" s="1094"/>
      <c r="N542" s="1115"/>
    </row>
    <row r="543" spans="2:14" ht="18" x14ac:dyDescent="0.3">
      <c r="B543" s="1082">
        <f t="shared" si="98"/>
        <v>16</v>
      </c>
      <c r="C543" s="1082">
        <f t="shared" si="98"/>
        <v>4</v>
      </c>
      <c r="D543" s="1082" t="str">
        <f t="shared" si="97"/>
        <v>Boisson spécial numéro 4</v>
      </c>
      <c r="E543" s="1091">
        <f t="shared" si="100"/>
        <v>2.7199999999999993</v>
      </c>
      <c r="F543" s="1131">
        <f t="shared" si="99"/>
        <v>9</v>
      </c>
      <c r="G543" s="1044">
        <f t="shared" ref="G543:G550" si="101">E543/F543</f>
        <v>0.30222222222222217</v>
      </c>
      <c r="H543" s="1092">
        <f t="shared" ref="H543:H550" si="102">F543-E543</f>
        <v>6.2800000000000011</v>
      </c>
      <c r="I543" s="1087">
        <f>+I542+0.01</f>
        <v>8.759999999999998</v>
      </c>
      <c r="J543" s="1374">
        <f>7/12</f>
        <v>0.58333333333333337</v>
      </c>
      <c r="K543" s="1081"/>
      <c r="L543" s="1096"/>
      <c r="M543" s="1094"/>
      <c r="N543" s="1115"/>
    </row>
    <row r="544" spans="2:14" ht="18" x14ac:dyDescent="0.3">
      <c r="B544" s="1082">
        <f t="shared" si="98"/>
        <v>17</v>
      </c>
      <c r="C544" s="1082">
        <f t="shared" si="98"/>
        <v>5</v>
      </c>
      <c r="D544" s="1082" t="str">
        <f t="shared" si="97"/>
        <v>Boisson spécial numéro 5</v>
      </c>
      <c r="E544" s="1091">
        <f t="shared" si="100"/>
        <v>2.7599999999999993</v>
      </c>
      <c r="F544" s="1128">
        <f t="shared" si="99"/>
        <v>9.2000000000000011</v>
      </c>
      <c r="G544" s="1044">
        <f t="shared" si="101"/>
        <v>0.29999999999999988</v>
      </c>
      <c r="H544" s="1092">
        <f t="shared" si="102"/>
        <v>6.4400000000000013</v>
      </c>
      <c r="I544" s="1087"/>
      <c r="J544" s="1375"/>
      <c r="K544" s="1080"/>
      <c r="L544" s="1096"/>
      <c r="M544" s="1094"/>
      <c r="N544" s="1115"/>
    </row>
    <row r="545" spans="2:14" ht="18" x14ac:dyDescent="0.3">
      <c r="B545" s="1082">
        <f t="shared" si="98"/>
        <v>18</v>
      </c>
      <c r="C545" s="1082">
        <f t="shared" si="98"/>
        <v>6</v>
      </c>
      <c r="D545" s="1082" t="str">
        <f t="shared" si="97"/>
        <v>Boisson spécial numéro 6</v>
      </c>
      <c r="E545" s="1091">
        <f t="shared" si="100"/>
        <v>2.8000000000000003</v>
      </c>
      <c r="F545" s="1128">
        <f t="shared" si="99"/>
        <v>9.4000000000000021</v>
      </c>
      <c r="G545" s="1044">
        <f t="shared" si="101"/>
        <v>0.2978723404255319</v>
      </c>
      <c r="H545" s="1092">
        <f t="shared" si="102"/>
        <v>6.6000000000000014</v>
      </c>
      <c r="I545" s="1087"/>
      <c r="J545" s="1375"/>
      <c r="K545" s="1080"/>
      <c r="L545" s="1096"/>
      <c r="M545" s="1094"/>
      <c r="N545" s="1115"/>
    </row>
    <row r="546" spans="2:14" ht="18" x14ac:dyDescent="0.3">
      <c r="B546" s="1082">
        <f t="shared" si="98"/>
        <v>19</v>
      </c>
      <c r="C546" s="1082">
        <f t="shared" si="98"/>
        <v>7</v>
      </c>
      <c r="D546" s="1082" t="str">
        <f t="shared" si="97"/>
        <v>Boisson spécial numéro 7</v>
      </c>
      <c r="E546" s="1091">
        <f t="shared" si="100"/>
        <v>2.82</v>
      </c>
      <c r="F546" s="1128">
        <f t="shared" si="99"/>
        <v>9.5999999999999979</v>
      </c>
      <c r="G546" s="1044">
        <f t="shared" si="101"/>
        <v>0.29375000000000007</v>
      </c>
      <c r="H546" s="1092">
        <f t="shared" si="102"/>
        <v>6.7799999999999976</v>
      </c>
      <c r="I546" s="1087"/>
      <c r="J546" s="1375"/>
      <c r="K546" s="1080"/>
      <c r="L546" s="1096"/>
      <c r="M546" s="1094"/>
      <c r="N546" s="1115"/>
    </row>
    <row r="547" spans="2:14" ht="18" x14ac:dyDescent="0.3">
      <c r="B547" s="1082">
        <f t="shared" si="98"/>
        <v>20</v>
      </c>
      <c r="C547" s="1082">
        <f t="shared" si="98"/>
        <v>8</v>
      </c>
      <c r="D547" s="1082" t="str">
        <f t="shared" si="97"/>
        <v>Boisson spécial numéro 8</v>
      </c>
      <c r="E547" s="1091">
        <f t="shared" si="100"/>
        <v>2.86</v>
      </c>
      <c r="F547" s="1128">
        <f t="shared" si="99"/>
        <v>9.7999999999999989</v>
      </c>
      <c r="G547" s="1044">
        <f t="shared" si="101"/>
        <v>0.29183673469387755</v>
      </c>
      <c r="H547" s="1092">
        <f t="shared" si="102"/>
        <v>6.9399999999999995</v>
      </c>
      <c r="I547" s="1087"/>
      <c r="J547" s="1375"/>
      <c r="K547" s="1080"/>
      <c r="L547" s="1096"/>
      <c r="M547" s="1094"/>
      <c r="N547" s="1115"/>
    </row>
    <row r="548" spans="2:14" ht="18" x14ac:dyDescent="0.3">
      <c r="B548" s="1082">
        <f t="shared" si="98"/>
        <v>21</v>
      </c>
      <c r="C548" s="1082">
        <f t="shared" si="98"/>
        <v>9</v>
      </c>
      <c r="D548" s="1082" t="str">
        <f t="shared" si="97"/>
        <v>Boisson spécial numéro 9</v>
      </c>
      <c r="E548" s="1091">
        <f t="shared" si="100"/>
        <v>2.899999999999999</v>
      </c>
      <c r="F548" s="1128">
        <f t="shared" si="99"/>
        <v>10</v>
      </c>
      <c r="G548" s="1044">
        <f t="shared" si="101"/>
        <v>0.28999999999999992</v>
      </c>
      <c r="H548" s="1092">
        <f t="shared" si="102"/>
        <v>7.1000000000000014</v>
      </c>
      <c r="I548" s="1087"/>
      <c r="J548" s="1375"/>
      <c r="K548" s="1080"/>
      <c r="L548" s="1096"/>
      <c r="M548" s="1094"/>
      <c r="N548" s="1115"/>
    </row>
    <row r="549" spans="2:14" ht="19" thickBot="1" x14ac:dyDescent="0.35">
      <c r="B549" s="1070">
        <f t="shared" si="98"/>
        <v>22</v>
      </c>
      <c r="C549" s="1070">
        <f t="shared" si="98"/>
        <v>10</v>
      </c>
      <c r="D549" s="1070" t="str">
        <f t="shared" si="97"/>
        <v>Boisson spécial numéro 10</v>
      </c>
      <c r="E549" s="1097">
        <f t="shared" si="100"/>
        <v>2.98</v>
      </c>
      <c r="F549" s="1129">
        <f t="shared" si="99"/>
        <v>10.400000000000002</v>
      </c>
      <c r="G549" s="1071">
        <f t="shared" si="101"/>
        <v>0.28653846153846146</v>
      </c>
      <c r="H549" s="1098">
        <f t="shared" si="102"/>
        <v>7.4200000000000017</v>
      </c>
      <c r="I549" s="1099">
        <f>+I542+2.15</f>
        <v>10.899999999999999</v>
      </c>
      <c r="J549" s="1376"/>
      <c r="K549" s="1080"/>
      <c r="L549" s="1096"/>
      <c r="M549" s="1094"/>
      <c r="N549" s="1115"/>
    </row>
    <row r="550" spans="2:14" ht="18" x14ac:dyDescent="0.3">
      <c r="B550" s="1082">
        <f t="shared" si="98"/>
        <v>23</v>
      </c>
      <c r="C550" s="1082">
        <f t="shared" si="98"/>
        <v>11</v>
      </c>
      <c r="D550" s="1082" t="str">
        <f t="shared" si="97"/>
        <v>Boisson spécial numéro 11</v>
      </c>
      <c r="E550" s="1091">
        <f t="shared" si="100"/>
        <v>3.18</v>
      </c>
      <c r="F550" s="1128">
        <f t="shared" si="99"/>
        <v>11.599999999999996</v>
      </c>
      <c r="G550" s="1044">
        <f t="shared" si="101"/>
        <v>0.27413793103448286</v>
      </c>
      <c r="H550" s="1092">
        <f t="shared" si="102"/>
        <v>8.4199999999999964</v>
      </c>
      <c r="I550" s="1087">
        <f>+I549+0.01</f>
        <v>10.909999999999998</v>
      </c>
      <c r="J550" s="1377">
        <f>2/12</f>
        <v>0.16666666666666666</v>
      </c>
      <c r="K550" s="1081"/>
      <c r="L550" s="1096"/>
      <c r="M550" s="1094"/>
      <c r="N550" s="1115"/>
    </row>
    <row r="551" spans="2:14" ht="18" x14ac:dyDescent="0.3">
      <c r="B551" s="1082">
        <f t="shared" si="98"/>
        <v>24</v>
      </c>
      <c r="C551" s="1082">
        <f t="shared" si="98"/>
        <v>12</v>
      </c>
      <c r="D551" s="1082" t="str">
        <f t="shared" si="97"/>
        <v>Boisson spécial numéro 12</v>
      </c>
      <c r="E551" s="1091">
        <f t="shared" si="100"/>
        <v>3.4799999999999991</v>
      </c>
      <c r="F551" s="1128">
        <f t="shared" si="99"/>
        <v>13.199999999999998</v>
      </c>
      <c r="G551" s="1044">
        <f>E551/F551</f>
        <v>0.26363636363636361</v>
      </c>
      <c r="H551" s="1092">
        <f>F551-E551</f>
        <v>9.7199999999999989</v>
      </c>
      <c r="I551" s="1087">
        <f>F551</f>
        <v>13.199999999999998</v>
      </c>
      <c r="J551" s="1375"/>
      <c r="K551" s="1080"/>
      <c r="L551" s="1096"/>
      <c r="M551" s="1094"/>
      <c r="N551" s="1115"/>
    </row>
    <row r="552" spans="2:14" ht="19" x14ac:dyDescent="0.35">
      <c r="B552" s="1082"/>
      <c r="C552" s="1082"/>
      <c r="D552" s="1042" t="str">
        <f t="shared" si="97"/>
        <v>CmO—PmO—Beverage Cost—Marge brute</v>
      </c>
      <c r="E552" s="1046">
        <f>SUM(E540:E551)/C551</f>
        <v>2.8483333333333332</v>
      </c>
      <c r="F552" s="1059">
        <f>SUM(F540:F551)/C551</f>
        <v>9.5333333333333332</v>
      </c>
      <c r="G552" s="1050">
        <f>E552/F552</f>
        <v>0.29877622377622376</v>
      </c>
      <c r="H552" s="1048">
        <f>F552-E552</f>
        <v>6.6850000000000005</v>
      </c>
      <c r="I552" s="1100"/>
      <c r="J552" s="1082"/>
      <c r="K552" s="1082"/>
      <c r="L552" s="1096">
        <f>N552/M557</f>
        <v>1.0775413461538463</v>
      </c>
      <c r="M552" s="1094"/>
      <c r="N552" s="1120">
        <f>+N36+N79+N122+N165+N208+N251+N294+N337+N380+N423+N466+N509</f>
        <v>56032.150000000009</v>
      </c>
    </row>
    <row r="553" spans="2:14" ht="19" thickBot="1" x14ac:dyDescent="0.35">
      <c r="B553" s="1082"/>
      <c r="C553" s="1082"/>
      <c r="D553" s="1082"/>
      <c r="E553" s="1091"/>
      <c r="F553" s="1091"/>
      <c r="G553" s="1043"/>
      <c r="H553" s="1049"/>
      <c r="I553" s="1082"/>
      <c r="J553" s="1082"/>
      <c r="K553" s="1082"/>
      <c r="L553" s="1096"/>
      <c r="M553" s="1094"/>
      <c r="N553" s="1115"/>
    </row>
    <row r="554" spans="2:14" ht="21" thickTop="1" thickBot="1" x14ac:dyDescent="0.4">
      <c r="B554" s="1082"/>
      <c r="C554" s="1051"/>
      <c r="D554" s="1052"/>
      <c r="E554" s="1102"/>
      <c r="F554" s="1102"/>
      <c r="G554" s="1053"/>
      <c r="H554" s="1103"/>
      <c r="I554" s="1104"/>
      <c r="J554" s="1082"/>
      <c r="K554" s="1082"/>
      <c r="L554" s="1096"/>
      <c r="M554" s="1094"/>
      <c r="N554" s="1115"/>
    </row>
    <row r="555" spans="2:14" ht="20" thickTop="1" thickBot="1" x14ac:dyDescent="0.35">
      <c r="B555" s="1082"/>
      <c r="C555" s="1055"/>
      <c r="D555" s="1042"/>
      <c r="E555" s="1105" t="str">
        <f>E512</f>
        <v>CmO</v>
      </c>
      <c r="F555" s="1105" t="str">
        <f>F512</f>
        <v>PmO</v>
      </c>
      <c r="G555" s="1056" t="str">
        <f>G512</f>
        <v>F&amp;BCmO</v>
      </c>
      <c r="H555" s="1106" t="str">
        <f>H512</f>
        <v>BmO</v>
      </c>
      <c r="I555" s="1107"/>
      <c r="J555" s="1082"/>
      <c r="K555" s="1082"/>
      <c r="L555" s="1096"/>
      <c r="M555" s="1094"/>
      <c r="N555" s="1115"/>
    </row>
    <row r="556" spans="2:14" ht="19" thickTop="1" x14ac:dyDescent="0.3">
      <c r="B556" s="1082"/>
      <c r="C556" s="1055"/>
      <c r="D556" s="1057" t="str">
        <f>D513</f>
        <v>OFFRE TOTALE AVEC LES GÂTERIES ET LES CAFÉS GÂTERIES</v>
      </c>
      <c r="E556" s="1091"/>
      <c r="F556" s="1091"/>
      <c r="G556" s="1043"/>
      <c r="H556" s="1049"/>
      <c r="I556" s="1058"/>
      <c r="J556" s="1082"/>
      <c r="K556" s="1082"/>
      <c r="L556" s="1096"/>
      <c r="M556" s="1094"/>
      <c r="N556" s="1115"/>
    </row>
    <row r="557" spans="2:14" ht="19" x14ac:dyDescent="0.35">
      <c r="B557" s="1082"/>
      <c r="C557" s="1055"/>
      <c r="D557" s="1042" t="str">
        <f>D514</f>
        <v>CmO—PmO—F&amp;B cost moyen offert—Marge brute</v>
      </c>
      <c r="E557" s="1059">
        <f>+(E525+E526+E527+E528+E529+E530+E531+E532+E533+E534+E535+E536+E540+E541+E542+E543+E544+E545+E546+E547+E548+E549+E550+E551)/B551</f>
        <v>2.1649999999999996</v>
      </c>
      <c r="F557" s="1059">
        <f>+(F525+F526+F527+F528+F529+F530+F531+F532+F533+F534+F535+F536+F540+F541+F542+F543+F544+F545+F546+F547+F548+F549+F550+F551)/B551</f>
        <v>7.1749999999999998</v>
      </c>
      <c r="G557" s="1060">
        <f>E557/F557</f>
        <v>0.30174216027874562</v>
      </c>
      <c r="H557" s="1061">
        <f>F557-E557</f>
        <v>5.01</v>
      </c>
      <c r="I557" s="1108"/>
      <c r="J557" s="1082"/>
      <c r="K557" s="1082"/>
      <c r="L557" s="1135">
        <f>N557/M557</f>
        <v>3.1550826923076927</v>
      </c>
      <c r="M557" s="1121">
        <f>+M41+M84+M127+M170+M213+M256+M299+M342+M385+M428+M471+M514</f>
        <v>52000</v>
      </c>
      <c r="N557" s="1122">
        <f>+N41+N84+N127+N170+N213+N256+N299+N342+N385+N428+N471+N514</f>
        <v>164064.30000000002</v>
      </c>
    </row>
    <row r="558" spans="2:14" ht="18" x14ac:dyDescent="0.3">
      <c r="B558" s="1082"/>
      <c r="C558" s="1055"/>
      <c r="D558" s="1082"/>
      <c r="E558" s="1109"/>
      <c r="F558" s="1109"/>
      <c r="G558" s="1045"/>
      <c r="H558" s="1062"/>
      <c r="I558" s="1063"/>
      <c r="J558" s="1082"/>
      <c r="K558" s="1082"/>
      <c r="L558" s="1096"/>
      <c r="M558" s="1094"/>
      <c r="N558" s="1115"/>
    </row>
    <row r="559" spans="2:14" ht="19" thickBot="1" x14ac:dyDescent="0.35">
      <c r="B559" s="1082"/>
      <c r="C559" s="1072"/>
      <c r="D559" s="1073"/>
      <c r="E559" s="1110"/>
      <c r="F559" s="1110"/>
      <c r="G559" s="1074"/>
      <c r="H559" s="1075"/>
      <c r="I559" s="1076"/>
      <c r="J559" s="1082"/>
      <c r="K559" s="1082"/>
      <c r="L559" s="1111"/>
      <c r="M559" s="1112"/>
      <c r="N559" s="1116"/>
    </row>
    <row r="560" spans="2:14" ht="17" thickTop="1" x14ac:dyDescent="0.3">
      <c r="L560" s="1117"/>
      <c r="M560" s="1118"/>
      <c r="N560" s="589"/>
    </row>
    <row r="561" spans="4:13" ht="16" x14ac:dyDescent="0.3">
      <c r="L561" s="1117"/>
      <c r="M561" s="1118"/>
    </row>
    <row r="562" spans="4:13" ht="16" x14ac:dyDescent="0.3">
      <c r="L562" s="1117"/>
      <c r="M562" s="1118"/>
    </row>
    <row r="563" spans="4:13" ht="30" x14ac:dyDescent="0.3">
      <c r="D563" s="1077" t="s">
        <v>589</v>
      </c>
      <c r="E563" s="1077" t="s">
        <v>50</v>
      </c>
      <c r="F563" s="1077" t="s">
        <v>47</v>
      </c>
      <c r="G563" s="1077" t="s">
        <v>48</v>
      </c>
      <c r="L563" s="1117"/>
      <c r="M563" s="1118"/>
    </row>
    <row r="564" spans="4:13" ht="27" thickBot="1" x14ac:dyDescent="0.35">
      <c r="D564" s="1078"/>
      <c r="E564" s="1078"/>
      <c r="F564" s="1078"/>
      <c r="G564" s="1078"/>
      <c r="L564" s="1117"/>
      <c r="M564" s="1118"/>
    </row>
    <row r="565" spans="4:13" ht="28" thickTop="1" thickBot="1" x14ac:dyDescent="0.35">
      <c r="D565" s="1123">
        <f>+E565*(F565*G565)</f>
        <v>520354.85583333328</v>
      </c>
      <c r="E565" s="1124">
        <f>M557</f>
        <v>52000</v>
      </c>
      <c r="F565" s="1127">
        <f>L537</f>
        <v>2.0775413461538461</v>
      </c>
      <c r="G565" s="1079">
        <f>F537</f>
        <v>4.8166666666666664</v>
      </c>
      <c r="L565" s="1126" t="s">
        <v>2</v>
      </c>
      <c r="M565" s="1118"/>
    </row>
    <row r="566" spans="4:13" ht="28" thickTop="1" thickBot="1" x14ac:dyDescent="0.35">
      <c r="D566" s="1078"/>
      <c r="E566" s="1078"/>
      <c r="F566" s="1386">
        <f>+F565*G565</f>
        <v>10.006824150641025</v>
      </c>
      <c r="G566" s="1387"/>
      <c r="L566" s="1117"/>
      <c r="M566" s="1118"/>
    </row>
    <row r="567" spans="4:13" ht="17" thickTop="1" x14ac:dyDescent="0.3">
      <c r="L567" s="1117"/>
      <c r="M567" s="1118"/>
    </row>
    <row r="568" spans="4:13" ht="30" x14ac:dyDescent="0.3">
      <c r="D568" s="1077" t="s">
        <v>590</v>
      </c>
      <c r="E568" s="1077" t="s">
        <v>50</v>
      </c>
      <c r="F568" s="1077" t="s">
        <v>47</v>
      </c>
      <c r="G568" s="1077" t="s">
        <v>48</v>
      </c>
      <c r="L568" s="1117"/>
      <c r="M568" s="1118"/>
    </row>
    <row r="569" spans="4:13" ht="27" thickBot="1" x14ac:dyDescent="0.35">
      <c r="D569" s="1078"/>
      <c r="E569" s="1078"/>
      <c r="F569" s="1078"/>
      <c r="G569" s="1078"/>
      <c r="L569" s="1117"/>
      <c r="M569" s="1118"/>
    </row>
    <row r="570" spans="4:13" ht="28" thickTop="1" thickBot="1" x14ac:dyDescent="0.35">
      <c r="D570" s="1123">
        <f>+E570*(F570*G570)</f>
        <v>534173.16333333345</v>
      </c>
      <c r="E570" s="1124">
        <f>M557</f>
        <v>52000</v>
      </c>
      <c r="F570" s="1127">
        <f>L552</f>
        <v>1.0775413461538463</v>
      </c>
      <c r="G570" s="1079">
        <f>F552</f>
        <v>9.5333333333333332</v>
      </c>
      <c r="L570" s="1126" t="s">
        <v>2</v>
      </c>
      <c r="M570" s="1118"/>
    </row>
    <row r="571" spans="4:13" ht="28" thickTop="1" thickBot="1" x14ac:dyDescent="0.35">
      <c r="D571" s="1078"/>
      <c r="E571" s="1078"/>
      <c r="F571" s="1386">
        <f>+F570*G570</f>
        <v>10.272560833333335</v>
      </c>
      <c r="G571" s="1387"/>
      <c r="L571" s="1117"/>
      <c r="M571" s="1118"/>
    </row>
    <row r="572" spans="4:13" ht="17" thickTop="1" x14ac:dyDescent="0.3">
      <c r="L572" s="1117"/>
      <c r="M572" s="1118"/>
    </row>
    <row r="573" spans="4:13" ht="30" x14ac:dyDescent="0.3">
      <c r="D573" s="1077" t="s">
        <v>591</v>
      </c>
      <c r="E573" s="1077" t="s">
        <v>50</v>
      </c>
      <c r="F573" s="1077" t="s">
        <v>47</v>
      </c>
      <c r="G573" s="1077" t="s">
        <v>48</v>
      </c>
      <c r="L573" s="1117"/>
      <c r="M573" s="1118"/>
    </row>
    <row r="574" spans="4:13" ht="27" thickBot="1" x14ac:dyDescent="0.35">
      <c r="D574" s="1078"/>
      <c r="E574" s="1078"/>
      <c r="F574" s="1078"/>
      <c r="G574" s="1078"/>
      <c r="L574" s="1117"/>
      <c r="M574" s="1118"/>
    </row>
    <row r="575" spans="4:13" ht="28" thickTop="1" thickBot="1" x14ac:dyDescent="0.35">
      <c r="D575" s="1123">
        <f>+D565+D570</f>
        <v>1054528.0191666668</v>
      </c>
      <c r="E575" s="1124">
        <f>M557</f>
        <v>52000</v>
      </c>
      <c r="F575" s="1136">
        <f>+F565+F570</f>
        <v>3.1550826923076922</v>
      </c>
      <c r="G575" s="1079">
        <f>D575/E575/F575</f>
        <v>6.4275288357471236</v>
      </c>
      <c r="H575" s="161" t="s">
        <v>2</v>
      </c>
      <c r="L575" s="1117" t="s">
        <v>2</v>
      </c>
      <c r="M575" s="1118"/>
    </row>
    <row r="576" spans="4:13" ht="28" thickTop="1" thickBot="1" x14ac:dyDescent="0.35">
      <c r="D576" s="1078"/>
      <c r="E576" s="1078"/>
      <c r="F576" s="1386">
        <f>G575*F575</f>
        <v>20.27938498397436</v>
      </c>
      <c r="G576" s="1387"/>
      <c r="L576" s="1117"/>
      <c r="M576" s="1118"/>
    </row>
    <row r="577" spans="4:13" ht="17" thickTop="1" x14ac:dyDescent="0.3">
      <c r="D577"/>
      <c r="E577"/>
      <c r="F577"/>
      <c r="G577"/>
      <c r="L577" s="1125"/>
      <c r="M577" s="1118"/>
    </row>
  </sheetData>
  <sheetProtection algorithmName="SHA-512" hashValue="ynpIMNEgHu42A8lefo3XJJ3pDg62VMMMGvWcSyv+wJrZ5ycuYbIVc9sKMuGPPK8b7fVR78VUm7/DSd+tdEg9Sw==" saltValue="Xp7YTF4vlGlw8CvYdO/8jA==" spinCount="100000" sheet="1" objects="1" scenarios="1"/>
  <mergeCells count="126">
    <mergeCell ref="F571:G571"/>
    <mergeCell ref="F576:G576"/>
    <mergeCell ref="J34:J35"/>
    <mergeCell ref="J9:J11"/>
    <mergeCell ref="J12:J18"/>
    <mergeCell ref="J19:J20"/>
    <mergeCell ref="J24:J26"/>
    <mergeCell ref="J27:J33"/>
    <mergeCell ref="H133:H135"/>
    <mergeCell ref="H391:H393"/>
    <mergeCell ref="F566:G566"/>
    <mergeCell ref="J396:J398"/>
    <mergeCell ref="J399:J405"/>
    <mergeCell ref="J406:J407"/>
    <mergeCell ref="J535:J536"/>
    <mergeCell ref="J540:J542"/>
    <mergeCell ref="E176:E178"/>
    <mergeCell ref="F176:F178"/>
    <mergeCell ref="G176:G178"/>
    <mergeCell ref="H176:H178"/>
    <mergeCell ref="E219:E221"/>
    <mergeCell ref="F219:F221"/>
    <mergeCell ref="G219:G221"/>
    <mergeCell ref="H219:H221"/>
    <mergeCell ref="A1:A258"/>
    <mergeCell ref="E4:E6"/>
    <mergeCell ref="F4:F6"/>
    <mergeCell ref="G4:G6"/>
    <mergeCell ref="H4:H6"/>
    <mergeCell ref="E47:E49"/>
    <mergeCell ref="F47:F49"/>
    <mergeCell ref="G47:G49"/>
    <mergeCell ref="H47:H49"/>
    <mergeCell ref="E90:E92"/>
    <mergeCell ref="F90:F92"/>
    <mergeCell ref="G90:G92"/>
    <mergeCell ref="H90:H92"/>
    <mergeCell ref="E133:E135"/>
    <mergeCell ref="F133:F135"/>
    <mergeCell ref="G133:G135"/>
    <mergeCell ref="A260:A516"/>
    <mergeCell ref="E262:E264"/>
    <mergeCell ref="F262:F264"/>
    <mergeCell ref="G262:G264"/>
    <mergeCell ref="H262:H264"/>
    <mergeCell ref="E305:E307"/>
    <mergeCell ref="F305:F307"/>
    <mergeCell ref="G305:G307"/>
    <mergeCell ref="H305:H307"/>
    <mergeCell ref="E348:E350"/>
    <mergeCell ref="F348:F350"/>
    <mergeCell ref="G348:G350"/>
    <mergeCell ref="H348:H350"/>
    <mergeCell ref="E391:E393"/>
    <mergeCell ref="F391:F393"/>
    <mergeCell ref="G391:G393"/>
    <mergeCell ref="E520:E522"/>
    <mergeCell ref="F520:F522"/>
    <mergeCell ref="G520:G522"/>
    <mergeCell ref="H520:H522"/>
    <mergeCell ref="J138:J140"/>
    <mergeCell ref="J141:J147"/>
    <mergeCell ref="J148:J149"/>
    <mergeCell ref="J153:J155"/>
    <mergeCell ref="J156:J162"/>
    <mergeCell ref="J163:J164"/>
    <mergeCell ref="J267:J269"/>
    <mergeCell ref="J270:J276"/>
    <mergeCell ref="J277:J278"/>
    <mergeCell ref="J282:J284"/>
    <mergeCell ref="J285:J291"/>
    <mergeCell ref="J292:J293"/>
    <mergeCell ref="E434:E436"/>
    <mergeCell ref="F434:F436"/>
    <mergeCell ref="G434:G436"/>
    <mergeCell ref="H434:H436"/>
    <mergeCell ref="E477:E479"/>
    <mergeCell ref="F477:F479"/>
    <mergeCell ref="G477:G479"/>
    <mergeCell ref="H477:H479"/>
    <mergeCell ref="L4:L6"/>
    <mergeCell ref="M4:M6"/>
    <mergeCell ref="N4:N6"/>
    <mergeCell ref="L47:L49"/>
    <mergeCell ref="M47:M49"/>
    <mergeCell ref="N47:N49"/>
    <mergeCell ref="J543:J549"/>
    <mergeCell ref="J550:J551"/>
    <mergeCell ref="J411:J413"/>
    <mergeCell ref="J414:J420"/>
    <mergeCell ref="J421:J422"/>
    <mergeCell ref="J525:J527"/>
    <mergeCell ref="J528:J534"/>
    <mergeCell ref="L176:L178"/>
    <mergeCell ref="M176:M178"/>
    <mergeCell ref="N176:N178"/>
    <mergeCell ref="L219:L221"/>
    <mergeCell ref="M219:M221"/>
    <mergeCell ref="N219:N221"/>
    <mergeCell ref="L90:L92"/>
    <mergeCell ref="M90:M92"/>
    <mergeCell ref="N90:N92"/>
    <mergeCell ref="L133:L135"/>
    <mergeCell ref="M133:M135"/>
    <mergeCell ref="N133:N135"/>
    <mergeCell ref="L348:L350"/>
    <mergeCell ref="M348:M350"/>
    <mergeCell ref="N348:N350"/>
    <mergeCell ref="L391:L393"/>
    <mergeCell ref="M391:M393"/>
    <mergeCell ref="N391:N393"/>
    <mergeCell ref="L262:L264"/>
    <mergeCell ref="M262:M264"/>
    <mergeCell ref="N262:N264"/>
    <mergeCell ref="L305:L307"/>
    <mergeCell ref="M305:M307"/>
    <mergeCell ref="N305:N307"/>
    <mergeCell ref="L520:L522"/>
    <mergeCell ref="M520:M522"/>
    <mergeCell ref="N520:N522"/>
    <mergeCell ref="L434:L436"/>
    <mergeCell ref="M434:M436"/>
    <mergeCell ref="N434:N436"/>
    <mergeCell ref="L477:L479"/>
    <mergeCell ref="M477:M479"/>
    <mergeCell ref="N477:N479"/>
  </mergeCells>
  <pageMargins left="0.78740157499999996" right="0.78740157499999996" top="0.984251969" bottom="0.984251969" header="0.5" footer="0.5"/>
  <pageSetup orientation="portrait" horizontalDpi="4294967292" verticalDpi="4294967292"/>
  <headerFooter alignWithMargins="0"/>
  <ignoredErrors>
    <ignoredError sqref="M41" formula="1"/>
  </ignoredErrors>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A83EB-1024-8844-AEA6-686D846C80D3}">
  <sheetPr>
    <tabColor theme="1"/>
  </sheetPr>
  <dimension ref="B1:BC82"/>
  <sheetViews>
    <sheetView tabSelected="1" zoomScale="90" zoomScaleNormal="90" zoomScalePageLayoutView="125" workbookViewId="0">
      <pane xSplit="2" ySplit="9" topLeftCell="N10" activePane="bottomRight" state="frozen"/>
      <selection pane="topRight" activeCell="C1" sqref="C1"/>
      <selection pane="bottomLeft" activeCell="A10" sqref="A10"/>
      <selection pane="bottomRight" activeCell="AP14" sqref="AP14"/>
    </sheetView>
  </sheetViews>
  <sheetFormatPr baseColWidth="10" defaultRowHeight="13" x14ac:dyDescent="0.15"/>
  <cols>
    <col min="1" max="1" width="1.5" style="161" customWidth="1"/>
    <col min="2" max="2" width="55.5" style="161" bestFit="1" customWidth="1"/>
    <col min="3" max="3" width="0.83203125" style="161" customWidth="1"/>
    <col min="4" max="4" width="15.6640625" style="161" bestFit="1" customWidth="1"/>
    <col min="5" max="5" width="12.1640625" style="161" bestFit="1" customWidth="1"/>
    <col min="6" max="6" width="0.83203125" style="161" customWidth="1"/>
    <col min="7" max="7" width="15.6640625" style="161" bestFit="1" customWidth="1"/>
    <col min="8" max="8" width="8.1640625" style="161" bestFit="1" customWidth="1"/>
    <col min="9" max="9" width="0.83203125" style="161" customWidth="1"/>
    <col min="10" max="10" width="15.6640625" style="161" bestFit="1" customWidth="1"/>
    <col min="11" max="11" width="8.1640625" style="161" bestFit="1" customWidth="1"/>
    <col min="12" max="12" width="0.83203125" style="161" customWidth="1"/>
    <col min="13" max="13" width="15.6640625" style="161" bestFit="1" customWidth="1"/>
    <col min="14" max="14" width="7.1640625" style="161" bestFit="1" customWidth="1"/>
    <col min="15" max="15" width="0.83203125" style="161" customWidth="1"/>
    <col min="16" max="16" width="15.6640625" style="161" bestFit="1" customWidth="1"/>
    <col min="17" max="17" width="8.1640625" style="161" bestFit="1" customWidth="1"/>
    <col min="18" max="18" width="0.83203125" style="161" customWidth="1"/>
    <col min="19" max="19" width="15.6640625" style="161" bestFit="1" customWidth="1"/>
    <col min="20" max="20" width="8.1640625" style="161" bestFit="1" customWidth="1"/>
    <col min="21" max="21" width="0.83203125" style="161" customWidth="1"/>
    <col min="22" max="22" width="15.6640625" style="161" bestFit="1" customWidth="1"/>
    <col min="23" max="23" width="8.1640625" style="161" bestFit="1" customWidth="1"/>
    <col min="24" max="24" width="0.83203125" style="161" customWidth="1"/>
    <col min="25" max="25" width="15.6640625" style="161" bestFit="1" customWidth="1"/>
    <col min="26" max="26" width="8.1640625" style="161" bestFit="1" customWidth="1"/>
    <col min="27" max="27" width="0.83203125" style="161" customWidth="1"/>
    <col min="28" max="28" width="15.6640625" style="161" bestFit="1" customWidth="1"/>
    <col min="29" max="29" width="8.1640625" style="161" bestFit="1" customWidth="1"/>
    <col min="30" max="30" width="0.83203125" style="161" customWidth="1"/>
    <col min="31" max="31" width="15.6640625" style="161" bestFit="1" customWidth="1"/>
    <col min="32" max="32" width="8.1640625" style="161" bestFit="1" customWidth="1"/>
    <col min="33" max="33" width="0.83203125" style="161" customWidth="1"/>
    <col min="34" max="34" width="15.6640625" style="161" bestFit="1" customWidth="1"/>
    <col min="35" max="35" width="8.1640625" style="161" bestFit="1" customWidth="1"/>
    <col min="36" max="36" width="0.83203125" style="161" customWidth="1"/>
    <col min="37" max="37" width="15.6640625" style="161" bestFit="1" customWidth="1"/>
    <col min="38" max="38" width="8.1640625" style="161" bestFit="1" customWidth="1"/>
    <col min="39" max="40" width="0.83203125" style="161" customWidth="1"/>
    <col min="41" max="41" width="15.6640625" style="161" bestFit="1" customWidth="1"/>
    <col min="42" max="42" width="8.83203125" style="161" bestFit="1" customWidth="1"/>
    <col min="43" max="43" width="0.83203125" style="161" customWidth="1"/>
    <col min="44" max="44" width="3.5" style="161" customWidth="1"/>
    <col min="45" max="45" width="8.5" style="161" bestFit="1" customWidth="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55" width="8.5" style="161" bestFit="1" customWidth="1"/>
    <col min="56" max="16384" width="10.83203125" style="161"/>
  </cols>
  <sheetData>
    <row r="1" spans="2:55" ht="14" thickBot="1" x14ac:dyDescent="0.2">
      <c r="H1" s="161" t="s">
        <v>624</v>
      </c>
      <c r="I1" s="161" t="s">
        <v>624</v>
      </c>
    </row>
    <row r="2" spans="2:55" ht="20" customHeight="1" thickTop="1" x14ac:dyDescent="0.2">
      <c r="B2" s="623" t="str">
        <f>'État des Résultats'!C2</f>
        <v>Les Multiples Plaisirs gourmands</v>
      </c>
      <c r="G2" s="311" t="s">
        <v>2</v>
      </c>
      <c r="AS2" s="1388" t="s">
        <v>42</v>
      </c>
      <c r="AT2" s="366"/>
      <c r="AU2" s="366"/>
      <c r="AV2" s="366"/>
      <c r="AW2" s="366"/>
      <c r="AX2" s="366"/>
      <c r="AY2" s="366"/>
      <c r="AZ2" s="366"/>
      <c r="BA2" s="366"/>
      <c r="BB2" s="366"/>
      <c r="BC2" s="1391" t="s">
        <v>43</v>
      </c>
    </row>
    <row r="3" spans="2:55" ht="20" customHeight="1" x14ac:dyDescent="0.2">
      <c r="B3" s="624" t="str">
        <f>'État des Résultats'!C3</f>
        <v xml:space="preserve">États des résultats </v>
      </c>
      <c r="AS3" s="1389"/>
      <c r="AT3" s="367"/>
      <c r="AU3" s="367"/>
      <c r="AV3" s="367"/>
      <c r="AW3" s="367"/>
      <c r="AX3" s="367"/>
      <c r="AY3" s="367"/>
      <c r="AZ3" s="367"/>
      <c r="BA3" s="367"/>
      <c r="BB3" s="367"/>
      <c r="BC3" s="1392"/>
    </row>
    <row r="4" spans="2:55" ht="20" customHeight="1" thickBot="1" x14ac:dyDescent="0.3">
      <c r="B4" s="625" t="str">
        <f>'État des Résultats'!C4</f>
        <v>Pour la période du 1er janvier 2021 au 31 décembre 2021</v>
      </c>
      <c r="D4" s="312" t="s">
        <v>2</v>
      </c>
      <c r="AS4" s="1389"/>
      <c r="AT4" s="368" t="str">
        <f>'Formule pour le calcul D'!BA103</f>
        <v>Coût annuel</v>
      </c>
      <c r="AU4" s="368" t="s">
        <v>44</v>
      </c>
      <c r="AV4" s="368" t="str">
        <f>'Formule pour le calcul D'!BC103</f>
        <v>Achalandage annuelle</v>
      </c>
      <c r="AW4" s="368" t="s">
        <v>45</v>
      </c>
      <c r="AX4" s="368" t="s">
        <v>46</v>
      </c>
      <c r="AY4" s="368" t="str">
        <f>'Formule pour le calcul D'!BF103</f>
        <v>Um/A</v>
      </c>
      <c r="AZ4" s="368" t="s">
        <v>45</v>
      </c>
      <c r="BA4" s="368" t="str">
        <f>'Formule pour le calcul D'!BH103</f>
        <v>CmO</v>
      </c>
      <c r="BB4" s="368" t="s">
        <v>49</v>
      </c>
      <c r="BC4" s="1392"/>
    </row>
    <row r="5" spans="2:55" ht="21" thickTop="1" thickBot="1" x14ac:dyDescent="0.3">
      <c r="B5" s="251"/>
      <c r="AS5" s="1389"/>
      <c r="AT5" s="369" t="s">
        <v>2</v>
      </c>
      <c r="AU5" s="370"/>
      <c r="AV5" s="369"/>
      <c r="AW5" s="370"/>
      <c r="AX5" s="370"/>
      <c r="AY5" s="370"/>
      <c r="AZ5" s="370"/>
      <c r="BA5" s="370"/>
      <c r="BB5" s="370"/>
      <c r="BC5" s="1392"/>
    </row>
    <row r="6" spans="2:55" ht="27" thickTop="1" x14ac:dyDescent="0.3">
      <c r="B6" s="167" t="str">
        <f>'État des Résultats'!C6</f>
        <v>Nb de places</v>
      </c>
      <c r="D6" s="554" t="s">
        <v>170</v>
      </c>
      <c r="E6" s="551">
        <f>D14/$B$7/'Calendrier 2021'!D8</f>
        <v>23.790235219972143</v>
      </c>
      <c r="F6" s="170"/>
      <c r="G6" s="554" t="str">
        <f>+D6</f>
        <v>Coût / place / jour</v>
      </c>
      <c r="H6" s="551"/>
      <c r="I6" s="170"/>
      <c r="J6" s="554" t="str">
        <f>+G6</f>
        <v>Coût / place / jour</v>
      </c>
      <c r="K6" s="551">
        <f>J14/$B$7/'Calendrier 2021'!F8</f>
        <v>25.695703114428941</v>
      </c>
      <c r="L6" s="170"/>
      <c r="M6" s="554" t="str">
        <f>+J6</f>
        <v>Coût / place / jour</v>
      </c>
      <c r="N6" s="551">
        <f>M14/$B$7/'Calendrier 2021'!G8</f>
        <v>27.867676213342307</v>
      </c>
      <c r="O6" s="171"/>
      <c r="P6" s="563" t="str">
        <f>+M6</f>
        <v>Coût / place / jour</v>
      </c>
      <c r="Q6" s="551">
        <f>P14/$B$7/'Calendrier 2021'!H8</f>
        <v>29.0362558866371</v>
      </c>
      <c r="R6" s="170"/>
      <c r="S6" s="563" t="str">
        <f>+P6</f>
        <v>Coût / place / jour</v>
      </c>
      <c r="T6" s="551">
        <f>S14/$B$7/'Calendrier 2021'!I8</f>
        <v>30.834602568187449</v>
      </c>
      <c r="U6" s="170"/>
      <c r="V6" s="563" t="str">
        <f>+S6</f>
        <v>Coût / place / jour</v>
      </c>
      <c r="W6" s="551">
        <f>V14/$B$7/'Calendrier 2021'!J8</f>
        <v>32.051547054841137</v>
      </c>
      <c r="X6" s="170"/>
      <c r="Y6" s="554" t="str">
        <f>+V6</f>
        <v>Coût / place / jour</v>
      </c>
      <c r="Z6" s="551">
        <f>Y14/$B$7/'Calendrier 2021'!K8</f>
        <v>32.474603301322382</v>
      </c>
      <c r="AA6" s="170"/>
      <c r="AB6" s="554" t="str">
        <f>+Y6</f>
        <v>Coût / place / jour</v>
      </c>
      <c r="AC6" s="551">
        <f>AB14/$B$7/'Calendrier 2021'!L8</f>
        <v>30.684336709069992</v>
      </c>
      <c r="AD6" s="514"/>
      <c r="AE6" s="554" t="str">
        <f>+AB6</f>
        <v>Coût / place / jour</v>
      </c>
      <c r="AF6" s="551">
        <f>AE14/$B$7/'Calendrier 2021'!M8</f>
        <v>30.756494917583744</v>
      </c>
      <c r="AG6" s="170"/>
      <c r="AH6" s="554" t="str">
        <f>+AE6</f>
        <v>Coût / place / jour</v>
      </c>
      <c r="AI6" s="551">
        <f>AH14/$B$7/'Calendrier 2021'!N8</f>
        <v>29.54133772269261</v>
      </c>
      <c r="AJ6" s="170"/>
      <c r="AK6" s="554" t="str">
        <f>+AH6</f>
        <v>Coût / place / jour</v>
      </c>
      <c r="AL6" s="551">
        <f>AK14/$B$7/'Calendrier 2021'!O8</f>
        <v>31.771056204969018</v>
      </c>
      <c r="AM6" s="170"/>
      <c r="AN6" s="170"/>
      <c r="AO6" s="552" t="str">
        <f>+D6</f>
        <v>Coût / place / jour</v>
      </c>
      <c r="AP6" s="564">
        <f>+AO14/$B$7/'% Occupation'!P8</f>
        <v>29.193230700152213</v>
      </c>
      <c r="AQ6" s="170"/>
      <c r="AR6" s="170"/>
      <c r="AS6" s="1389"/>
      <c r="AT6" s="371" t="str">
        <f>'Formule pour le calcul D'!BA105</f>
        <v xml:space="preserve">C </v>
      </c>
      <c r="AU6" s="372"/>
      <c r="AV6" s="371" t="str">
        <f>'Formule pour le calcul D'!BC105</f>
        <v>A</v>
      </c>
      <c r="AW6" s="372"/>
      <c r="AX6" s="372"/>
      <c r="AY6" s="371" t="str">
        <f>AY4</f>
        <v>Um/A</v>
      </c>
      <c r="AZ6" s="372"/>
      <c r="BA6" s="371" t="str">
        <f>BA4</f>
        <v>CmO</v>
      </c>
      <c r="BB6" s="372"/>
      <c r="BC6" s="1392"/>
    </row>
    <row r="7" spans="2:55" ht="21" x14ac:dyDescent="0.25">
      <c r="B7" s="559">
        <f>'État des Résultats'!C7</f>
        <v>30</v>
      </c>
      <c r="D7" s="555">
        <f>+D14/$AO$14</f>
        <v>6.9212638583414671E-2</v>
      </c>
      <c r="E7" s="178"/>
      <c r="F7" s="170"/>
      <c r="G7" s="555">
        <f>+G14/$AO$14</f>
        <v>6.7086094803409532E-2</v>
      </c>
      <c r="H7" s="560"/>
      <c r="I7" s="170"/>
      <c r="J7" s="555">
        <f>+J14/$AO$14</f>
        <v>7.4756192881718614E-2</v>
      </c>
      <c r="K7" s="560"/>
      <c r="L7" s="170"/>
      <c r="M7" s="555">
        <f>+M14/$AO$14</f>
        <v>7.8459762088998963E-2</v>
      </c>
      <c r="N7" s="560"/>
      <c r="O7" s="171"/>
      <c r="P7" s="555">
        <f>+P14/$AO$14</f>
        <v>8.4474821955951768E-2</v>
      </c>
      <c r="Q7" s="560"/>
      <c r="R7" s="170"/>
      <c r="S7" s="555">
        <f>+S14/$AO$14</f>
        <v>8.6812964349375438E-2</v>
      </c>
      <c r="T7" s="560"/>
      <c r="U7" s="170"/>
      <c r="V7" s="555">
        <f>+V14/$AO$14</f>
        <v>9.3247171448043634E-2</v>
      </c>
      <c r="W7" s="560"/>
      <c r="X7" s="170"/>
      <c r="Y7" s="555">
        <f>+Y14/$AO$14</f>
        <v>9.4477963780167387E-2</v>
      </c>
      <c r="Z7" s="560"/>
      <c r="AA7" s="170"/>
      <c r="AB7" s="555">
        <f>+AB14/$AO$14</f>
        <v>8.6389899883354049E-2</v>
      </c>
      <c r="AC7" s="560"/>
      <c r="AD7" s="423"/>
      <c r="AE7" s="555">
        <f>+AE14/$AO$14</f>
        <v>8.9479492200911767E-2</v>
      </c>
      <c r="AF7" s="560"/>
      <c r="AG7" s="170"/>
      <c r="AH7" s="555">
        <f>+AH14/$AO$14</f>
        <v>8.3171855154665825E-2</v>
      </c>
      <c r="AI7" s="560"/>
      <c r="AJ7" s="170"/>
      <c r="AK7" s="555">
        <f>+AK14/$AO$14</f>
        <v>9.2431142869988381E-2</v>
      </c>
      <c r="AL7" s="560"/>
      <c r="AM7" s="170"/>
      <c r="AN7" s="170"/>
      <c r="AO7" s="555">
        <f>+AO14/$AO$14</f>
        <v>1</v>
      </c>
      <c r="AP7" s="565" t="s">
        <v>136</v>
      </c>
      <c r="AQ7" s="170"/>
      <c r="AR7" s="170"/>
      <c r="AS7" s="1389"/>
      <c r="AT7" s="630">
        <f>AO22</f>
        <v>734862.14299999981</v>
      </c>
      <c r="AU7" s="368" t="s">
        <v>44</v>
      </c>
      <c r="AV7" s="631">
        <f>'Formule pour le calcul D'!G106</f>
        <v>52000</v>
      </c>
      <c r="AW7" s="368" t="s">
        <v>45</v>
      </c>
      <c r="AX7" s="368" t="s">
        <v>46</v>
      </c>
      <c r="AY7" s="632">
        <f>'Formule pour le calcul D'!J106</f>
        <v>3.1499999999999995</v>
      </c>
      <c r="AZ7" s="368" t="s">
        <v>45</v>
      </c>
      <c r="BA7" s="633">
        <f>AT7/AV7/AY7</f>
        <v>4.4863378693528695</v>
      </c>
      <c r="BB7" s="368" t="s">
        <v>49</v>
      </c>
      <c r="BC7" s="1392"/>
    </row>
    <row r="8" spans="2:55" ht="17" thickBot="1" x14ac:dyDescent="0.25">
      <c r="B8" s="313" t="s">
        <v>192</v>
      </c>
      <c r="D8" s="556" t="str">
        <f>'État des Résultats'!E8</f>
        <v>Pér.01</v>
      </c>
      <c r="E8" s="1067"/>
      <c r="F8" s="182"/>
      <c r="G8" s="556" t="str">
        <f>'État des Résultats'!H8</f>
        <v>Pér.02</v>
      </c>
      <c r="H8" s="561"/>
      <c r="I8" s="182"/>
      <c r="J8" s="556" t="str">
        <f>'État des Résultats'!K8</f>
        <v>Pér.03</v>
      </c>
      <c r="K8" s="561"/>
      <c r="L8" s="182"/>
      <c r="M8" s="556" t="str">
        <f>'État des Résultats'!N8</f>
        <v>Pér.04</v>
      </c>
      <c r="N8" s="561"/>
      <c r="O8" s="184"/>
      <c r="P8" s="556" t="str">
        <f>'État des Résultats'!Q8</f>
        <v>Pér.05</v>
      </c>
      <c r="Q8" s="561"/>
      <c r="R8" s="182"/>
      <c r="S8" s="556" t="str">
        <f>'État des Résultats'!T8</f>
        <v>Pér.06</v>
      </c>
      <c r="T8" s="561"/>
      <c r="U8" s="182"/>
      <c r="V8" s="556" t="str">
        <f>'État des Résultats'!W8</f>
        <v>Pér.07</v>
      </c>
      <c r="W8" s="561"/>
      <c r="X8" s="182"/>
      <c r="Y8" s="556" t="str">
        <f>'État des Résultats'!Z8</f>
        <v>Pér.08</v>
      </c>
      <c r="Z8" s="561"/>
      <c r="AA8" s="182"/>
      <c r="AB8" s="556" t="str">
        <f>'État des Résultats'!AC8</f>
        <v>Pér.09</v>
      </c>
      <c r="AC8" s="561"/>
      <c r="AD8" s="515"/>
      <c r="AE8" s="556" t="str">
        <f>'État des Résultats'!AF8</f>
        <v>Pér.10</v>
      </c>
      <c r="AF8" s="561"/>
      <c r="AG8" s="182"/>
      <c r="AH8" s="556" t="str">
        <f>'État des Résultats'!AI8</f>
        <v>Pér.11</v>
      </c>
      <c r="AI8" s="561"/>
      <c r="AJ8" s="182"/>
      <c r="AK8" s="556" t="str">
        <f>'État des Résultats'!AL8</f>
        <v>Pér.12</v>
      </c>
      <c r="AL8" s="561"/>
      <c r="AM8" s="182"/>
      <c r="AN8" s="314"/>
      <c r="AO8" s="556" t="str">
        <f>'État des Résultats'!AP8</f>
        <v>Total</v>
      </c>
      <c r="AP8" s="566"/>
      <c r="AS8" s="1390"/>
      <c r="AT8" s="373"/>
      <c r="AU8" s="373"/>
      <c r="AV8" s="373"/>
      <c r="AW8" s="373"/>
      <c r="AX8" s="373"/>
      <c r="AY8" s="373"/>
      <c r="AZ8" s="373"/>
      <c r="BA8" s="373"/>
      <c r="BB8" s="373"/>
      <c r="BC8" s="1393"/>
    </row>
    <row r="9" spans="2:55" ht="15" thickTop="1" thickBot="1" x14ac:dyDescent="0.2">
      <c r="B9" s="553">
        <f>+AO14/B7</f>
        <v>10655.529205555558</v>
      </c>
      <c r="D9" s="557" t="str">
        <f>'État des Résultats'!E9</f>
        <v>Janvier 2021</v>
      </c>
      <c r="E9" s="558" t="str">
        <f>'État des Résultats'!F8</f>
        <v>(%)</v>
      </c>
      <c r="F9" s="291"/>
      <c r="G9" s="557" t="str">
        <f>'État des Résultats'!H9</f>
        <v>Février 2021</v>
      </c>
      <c r="H9" s="562"/>
      <c r="I9" s="292"/>
      <c r="J9" s="557" t="str">
        <f>'État des Résultats'!K9</f>
        <v>Mars 2021</v>
      </c>
      <c r="K9" s="562" t="str">
        <f>'État des Résultats'!L8</f>
        <v>(%)</v>
      </c>
      <c r="L9" s="291"/>
      <c r="M9" s="557" t="str">
        <f>'État des Résultats'!N9</f>
        <v>Avril 2021</v>
      </c>
      <c r="N9" s="562" t="str">
        <f>'État des Résultats'!O8</f>
        <v>(%)</v>
      </c>
      <c r="O9" s="293"/>
      <c r="P9" s="557" t="str">
        <f>'État des Résultats'!Q9</f>
        <v>Mai 2021</v>
      </c>
      <c r="Q9" s="562" t="str">
        <f>'État des Résultats'!R8</f>
        <v>(%)</v>
      </c>
      <c r="R9" s="291"/>
      <c r="S9" s="557" t="str">
        <f>'État des Résultats'!T9</f>
        <v>Juin 2021</v>
      </c>
      <c r="T9" s="562" t="str">
        <f>'État des Résultats'!U8</f>
        <v>(%)</v>
      </c>
      <c r="U9" s="291"/>
      <c r="V9" s="557" t="str">
        <f>'État des Résultats'!W9</f>
        <v>Juillet 2021</v>
      </c>
      <c r="W9" s="562" t="str">
        <f>'État des Résultats'!X8</f>
        <v>(%)</v>
      </c>
      <c r="X9" s="291"/>
      <c r="Y9" s="557" t="str">
        <f>'État des Résultats'!Z9</f>
        <v>Août 2021</v>
      </c>
      <c r="Z9" s="562" t="str">
        <f>'État des Résultats'!AA8</f>
        <v>(%)</v>
      </c>
      <c r="AA9" s="291"/>
      <c r="AB9" s="557" t="str">
        <f>'État des Résultats'!AC9</f>
        <v>Septembre 2021</v>
      </c>
      <c r="AC9" s="562" t="str">
        <f>'État des Résultats'!AD8</f>
        <v>(%)</v>
      </c>
      <c r="AD9" s="516"/>
      <c r="AE9" s="557" t="str">
        <f>'État des Résultats'!AF9</f>
        <v>Octobre 2021</v>
      </c>
      <c r="AF9" s="562" t="str">
        <f>'État des Résultats'!AG8</f>
        <v>(%)</v>
      </c>
      <c r="AG9" s="291"/>
      <c r="AH9" s="557" t="str">
        <f>'État des Résultats'!AI9</f>
        <v>Novembre 2021</v>
      </c>
      <c r="AI9" s="562" t="str">
        <f>'État des Résultats'!AJ8</f>
        <v>(%)</v>
      </c>
      <c r="AJ9" s="291"/>
      <c r="AK9" s="557" t="str">
        <f>'État des Résultats'!AL9</f>
        <v>Décembre 2021</v>
      </c>
      <c r="AL9" s="562" t="str">
        <f>'État des Résultats'!AM8</f>
        <v>(%)</v>
      </c>
      <c r="AM9" s="291"/>
      <c r="AN9" s="291"/>
      <c r="AO9" s="557" t="str">
        <f>'État des Résultats'!AP9</f>
        <v>Année</v>
      </c>
      <c r="AP9" s="562" t="str">
        <f>'État des Résultats'!AQ8</f>
        <v>(%)</v>
      </c>
      <c r="AQ9" s="328"/>
      <c r="AR9" s="328"/>
      <c r="AS9" s="328"/>
      <c r="AT9" s="328"/>
      <c r="AU9" s="328"/>
      <c r="AV9" s="328"/>
    </row>
    <row r="10" spans="2:55" ht="20" customHeight="1" thickTop="1" x14ac:dyDescent="0.15">
      <c r="B10" s="189" t="str">
        <f>'État des Résultats'!C16</f>
        <v>Coût des produits vendus</v>
      </c>
      <c r="D10" s="190"/>
      <c r="E10" s="191"/>
      <c r="G10" s="190"/>
      <c r="H10" s="191"/>
      <c r="J10" s="190"/>
      <c r="K10" s="191"/>
      <c r="M10" s="190"/>
      <c r="N10" s="191"/>
      <c r="O10" s="192"/>
      <c r="P10" s="190"/>
      <c r="Q10" s="191"/>
      <c r="S10" s="190"/>
      <c r="T10" s="191"/>
      <c r="V10" s="190"/>
      <c r="W10" s="191"/>
      <c r="Y10" s="190"/>
      <c r="Z10" s="191"/>
      <c r="AB10" s="190"/>
      <c r="AC10" s="191"/>
      <c r="AE10" s="190"/>
      <c r="AF10" s="191"/>
      <c r="AH10" s="190"/>
      <c r="AI10" s="191"/>
      <c r="AK10" s="190"/>
      <c r="AL10" s="191"/>
      <c r="AO10" s="193"/>
      <c r="AP10" s="194"/>
    </row>
    <row r="11" spans="2:55" x14ac:dyDescent="0.15">
      <c r="B11" s="200" t="str">
        <f>'État des Résultats'!C11</f>
        <v xml:space="preserve"> Nourriture</v>
      </c>
      <c r="D11" s="315">
        <f>E11*'État des Résultats'!E11</f>
        <v>11078.703410530976</v>
      </c>
      <c r="E11" s="1066">
        <f>'Calcul CmO et PmO'!G21</f>
        <v>0.30761245674740478</v>
      </c>
      <c r="F11" s="312"/>
      <c r="G11" s="315">
        <f>H11*'État des Résultats'!H11</f>
        <v>10738.312575701111</v>
      </c>
      <c r="H11" s="1066">
        <f>'Calcul CmO et PmO'!G64</f>
        <v>0.30761245674740478</v>
      </c>
      <c r="J11" s="315">
        <f>K11*'État des Résultats'!K11</f>
        <v>11966.047039788315</v>
      </c>
      <c r="K11" s="1232">
        <f>'Calcul CmO et PmO'!G107</f>
        <v>0.30761245674740478</v>
      </c>
      <c r="M11" s="315">
        <f>N11*'État des Résultats'!N11</f>
        <v>12558.868606016918</v>
      </c>
      <c r="N11" s="1066">
        <f>'Calcul CmO et PmO'!G150</f>
        <v>0.30761245674740478</v>
      </c>
      <c r="O11" s="192"/>
      <c r="P11" s="315">
        <f>Q11*'État des Résultats'!Q11</f>
        <v>13521.685016812255</v>
      </c>
      <c r="Q11" s="191">
        <f>'Calcul CmO et PmO'!G193</f>
        <v>0.30761245674740478</v>
      </c>
      <c r="S11" s="315">
        <f>T11*'État des Résultats'!T11</f>
        <v>13895.945941384738</v>
      </c>
      <c r="T11" s="191">
        <f>'Calcul CmO et PmO'!G236</f>
        <v>0.30761245674740478</v>
      </c>
      <c r="V11" s="315">
        <f>W11*'État des Résultats'!W11</f>
        <v>14925.854258522057</v>
      </c>
      <c r="W11" s="1066">
        <f>'Calcul CmO et PmO'!G279</f>
        <v>0.30761245674740478</v>
      </c>
      <c r="Y11" s="315">
        <f>Z11*'État des Résultats'!Z11</f>
        <v>15122.864277019202</v>
      </c>
      <c r="Z11" s="191">
        <f>'Calcul CmO et PmO'!G322</f>
        <v>0.30761245674740478</v>
      </c>
      <c r="AB11" s="315">
        <f>AC11*'État des Résultats'!AC11</f>
        <v>13828.22701260937</v>
      </c>
      <c r="AC11" s="191">
        <f>'Calcul CmO et PmO'!G365</f>
        <v>0.30761245674740478</v>
      </c>
      <c r="AE11" s="315">
        <f>AF11*'État des Résultats'!AF11</f>
        <v>14322.770749797262</v>
      </c>
      <c r="AF11" s="1066">
        <f>'Calcul CmO et PmO'!G408</f>
        <v>0.30761245674740478</v>
      </c>
      <c r="AH11" s="315">
        <f>AI11*'État des Résultats'!AI11</f>
        <v>13313.122201686834</v>
      </c>
      <c r="AI11" s="191">
        <f>'Calcul CmO et PmO'!G451</f>
        <v>0.30761245674740478</v>
      </c>
      <c r="AK11" s="315">
        <f>AL11*'État des Résultats'!AL11</f>
        <v>14795.234493464321</v>
      </c>
      <c r="AL11" s="191">
        <f>'Calcul CmO et PmO'!G494</f>
        <v>0.30761245674740478</v>
      </c>
      <c r="AO11" s="316">
        <f t="shared" ref="AO11:AO13" si="0">+$AK11+$AH11+$AE11+$AB11+$Y11+$V11+$S11+$P11+$M11+$J11+$G11+$D11</f>
        <v>160067.63558333335</v>
      </c>
      <c r="AP11" s="194">
        <f>+AO11/'État des Résultats'!AP11</f>
        <v>0.30761245674740484</v>
      </c>
    </row>
    <row r="12" spans="2:55" x14ac:dyDescent="0.15">
      <c r="B12" s="200" t="str">
        <f>'État des Résultats'!C12</f>
        <v xml:space="preserve"> Boisson</v>
      </c>
      <c r="D12" s="315">
        <f>+E12*'État des Résultats'!E12</f>
        <v>11046.215344043118</v>
      </c>
      <c r="E12" s="1066">
        <f>'Calcul CmO et PmO'!G36</f>
        <v>0.29877622377622376</v>
      </c>
      <c r="G12" s="315">
        <f>+H12*'État des Résultats'!H12</f>
        <v>10706.822698230866</v>
      </c>
      <c r="H12" s="1066">
        <f>'Calcul CmO et PmO'!G79</f>
        <v>0.29877622377622376</v>
      </c>
      <c r="J12" s="315">
        <f>+K12*'État des Résultats'!K12</f>
        <v>11930.956856630602</v>
      </c>
      <c r="K12" s="1232">
        <f>'Calcul CmO et PmO'!G122</f>
        <v>0.29877622377622376</v>
      </c>
      <c r="M12" s="315">
        <f>+N12*'État des Résultats'!N12</f>
        <v>12522.039985991156</v>
      </c>
      <c r="N12" s="1066">
        <f>'Calcul CmO et PmO'!G165</f>
        <v>0.29877622377622376</v>
      </c>
      <c r="O12" s="192"/>
      <c r="P12" s="315">
        <f>+Q12*'État des Résultats'!Q12</f>
        <v>13482.032957760244</v>
      </c>
      <c r="Q12" s="191">
        <f>'Calcul CmO et PmO'!G208</f>
        <v>0.29877622377622376</v>
      </c>
      <c r="S12" s="315">
        <f>+T12*'État des Résultats'!T12</f>
        <v>13855.196369983967</v>
      </c>
      <c r="T12" s="191">
        <f>'Calcul CmO et PmO'!G251</f>
        <v>0.29877622377622376</v>
      </c>
      <c r="V12" s="315">
        <f>+W12*'État des Résultats'!W12</f>
        <v>14882.084502480206</v>
      </c>
      <c r="W12" s="1066">
        <f>'Calcul CmO et PmO'!G294</f>
        <v>0.29877622377622376</v>
      </c>
      <c r="Y12" s="315">
        <f>+Z12*'État des Résultats'!Z12</f>
        <v>15078.516793210614</v>
      </c>
      <c r="Z12" s="191">
        <f>'Calcul CmO et PmO'!G337</f>
        <v>0.29877622377622376</v>
      </c>
      <c r="AB12" s="315">
        <f>+AC12*'État des Résultats'!AC12</f>
        <v>13787.676025553625</v>
      </c>
      <c r="AC12" s="191">
        <f>'Calcul CmO et PmO'!G380</f>
        <v>0.29877622377622376</v>
      </c>
      <c r="AE12" s="315">
        <f>+AF12*'État des Résultats'!AF12</f>
        <v>14280.769523555618</v>
      </c>
      <c r="AF12" s="1066">
        <f>'Calcul CmO et PmO'!G423</f>
        <v>0.29877622377622376</v>
      </c>
      <c r="AH12" s="315">
        <f>+AI12*'État des Résultats'!AI12</f>
        <v>13274.081748736513</v>
      </c>
      <c r="AI12" s="191">
        <f>'Calcul CmO et PmO'!G466</f>
        <v>0.29877622377622376</v>
      </c>
      <c r="AK12" s="315">
        <f>+AL12*'État des Résultats'!AL12</f>
        <v>14751.847777156867</v>
      </c>
      <c r="AL12" s="191">
        <f>'Calcul CmO et PmO'!G509</f>
        <v>0.29877622377622376</v>
      </c>
      <c r="AO12" s="316">
        <f t="shared" si="0"/>
        <v>159598.24058333339</v>
      </c>
      <c r="AP12" s="194">
        <f>+AO12/'État des Résultats'!AP12</f>
        <v>0.29877622377622381</v>
      </c>
    </row>
    <row r="13" spans="2:55" ht="14" thickBot="1" x14ac:dyDescent="0.2">
      <c r="B13" s="200" t="str">
        <f>'État des Résultats'!C13</f>
        <v xml:space="preserve"> Autres revenus</v>
      </c>
      <c r="D13" s="315">
        <f>+E13*'État des Résultats'!E13</f>
        <v>0</v>
      </c>
      <c r="E13" s="963">
        <v>0</v>
      </c>
      <c r="G13" s="315">
        <f>+H13*'État des Résultats'!H13</f>
        <v>0</v>
      </c>
      <c r="H13" s="963">
        <f>E13</f>
        <v>0</v>
      </c>
      <c r="J13" s="315">
        <f>+K13*'État des Résultats'!K13</f>
        <v>0</v>
      </c>
      <c r="K13" s="1232">
        <f t="shared" ref="K13" si="1">H13</f>
        <v>0</v>
      </c>
      <c r="M13" s="315">
        <f>+N13*'État des Résultats'!N13</f>
        <v>0</v>
      </c>
      <c r="N13" s="963">
        <v>0</v>
      </c>
      <c r="O13" s="192"/>
      <c r="P13" s="315">
        <f>+Q13*'État des Résultats'!Q13</f>
        <v>0</v>
      </c>
      <c r="Q13" s="191">
        <f t="shared" ref="Q13" si="2">N13</f>
        <v>0</v>
      </c>
      <c r="S13" s="315">
        <f>+T13*'État des Résultats'!T13</f>
        <v>0</v>
      </c>
      <c r="T13" s="191">
        <f t="shared" ref="T13" si="3">Q13</f>
        <v>0</v>
      </c>
      <c r="V13" s="315">
        <f>+W13*'État des Résultats'!W13</f>
        <v>0</v>
      </c>
      <c r="W13" s="963">
        <v>0</v>
      </c>
      <c r="Y13" s="315">
        <f>+Z13*'État des Résultats'!Z13</f>
        <v>0</v>
      </c>
      <c r="Z13" s="191">
        <f t="shared" ref="Z13" si="4">W13</f>
        <v>0</v>
      </c>
      <c r="AB13" s="315">
        <f>+AC13*'État des Résultats'!AC13</f>
        <v>0</v>
      </c>
      <c r="AC13" s="191">
        <f t="shared" ref="AC13" si="5">Z13</f>
        <v>0</v>
      </c>
      <c r="AE13" s="315">
        <f>+AF13*'État des Résultats'!AF13</f>
        <v>0</v>
      </c>
      <c r="AF13" s="963">
        <v>0</v>
      </c>
      <c r="AH13" s="315">
        <f>+AI13*'État des Résultats'!AI13</f>
        <v>0</v>
      </c>
      <c r="AI13" s="191">
        <f t="shared" ref="AI13" si="6">AF13</f>
        <v>0</v>
      </c>
      <c r="AK13" s="315">
        <f>+AL13*'État des Résultats'!AL13</f>
        <v>0</v>
      </c>
      <c r="AL13" s="191">
        <f t="shared" ref="AL13" si="7">AI13</f>
        <v>0</v>
      </c>
      <c r="AO13" s="316">
        <f t="shared" si="0"/>
        <v>0</v>
      </c>
      <c r="AP13" s="194" t="e">
        <f>+AO13/'État des Résultats'!AP13</f>
        <v>#DIV/0!</v>
      </c>
    </row>
    <row r="14" spans="2:55" ht="20" customHeight="1" thickTop="1" thickBot="1" x14ac:dyDescent="0.25">
      <c r="B14" s="517" t="str">
        <f>'État des Résultats'!C16</f>
        <v>Coût des produits vendus</v>
      </c>
      <c r="C14" s="317"/>
      <c r="D14" s="518">
        <f>+SUM(D11:D13)</f>
        <v>22124.918754574093</v>
      </c>
      <c r="E14" s="519">
        <f>+D14/'État des Résultats'!E14</f>
        <v>0.30313644621721902</v>
      </c>
      <c r="F14" s="320"/>
      <c r="G14" s="318">
        <f>+SUM(G11:G13)</f>
        <v>21445.135273931977</v>
      </c>
      <c r="H14" s="519">
        <f>+G14/'État des Résultats'!H14</f>
        <v>0.30313644621721897</v>
      </c>
      <c r="I14" s="321"/>
      <c r="J14" s="518">
        <f>+SUM(J11:J13)</f>
        <v>23897.003896418915</v>
      </c>
      <c r="K14" s="519">
        <f>+J14/'État des Résultats'!K14</f>
        <v>0.30313644621721897</v>
      </c>
      <c r="L14" s="321"/>
      <c r="M14" s="318">
        <f>+SUM(M11:M13)</f>
        <v>25080.908592008076</v>
      </c>
      <c r="N14" s="319">
        <f>+M14/'État des Résultats'!N14</f>
        <v>0.30313644621721902</v>
      </c>
      <c r="O14" s="320"/>
      <c r="P14" s="518">
        <f>+SUM(P11:P13)</f>
        <v>27003.717974572501</v>
      </c>
      <c r="Q14" s="519">
        <f>+P14/'État des Résultats'!Q14</f>
        <v>0.30313644621721902</v>
      </c>
      <c r="R14" s="321"/>
      <c r="S14" s="518">
        <f>+SUM(S11:S13)</f>
        <v>27751.142311368705</v>
      </c>
      <c r="T14" s="519">
        <f>+S14/'État des Résultats'!T14</f>
        <v>0.30313644621721902</v>
      </c>
      <c r="U14" s="321"/>
      <c r="V14" s="518">
        <f>+SUM(V11:V13)</f>
        <v>29807.93876100226</v>
      </c>
      <c r="W14" s="519">
        <f>+V14/'État des Résultats'!W14</f>
        <v>0.30313644621721897</v>
      </c>
      <c r="X14" s="321"/>
      <c r="Y14" s="518">
        <f>+SUM(Y11:Y13)</f>
        <v>30201.381070229814</v>
      </c>
      <c r="Z14" s="519">
        <f>+Y14/'État des Résultats'!Z14</f>
        <v>0.30313644621721897</v>
      </c>
      <c r="AA14" s="321"/>
      <c r="AB14" s="518">
        <f>+SUM(AB11:AB13)</f>
        <v>27615.903038162993</v>
      </c>
      <c r="AC14" s="519">
        <f>+AB14/'État des Résultats'!AC14</f>
        <v>0.30313644621721897</v>
      </c>
      <c r="AD14" s="321"/>
      <c r="AE14" s="518">
        <f>+SUM(AE11:AE13)</f>
        <v>28603.540273352883</v>
      </c>
      <c r="AF14" s="519">
        <f>+AE14/'État des Résultats'!AF14</f>
        <v>0.30313644621721902</v>
      </c>
      <c r="AG14" s="321"/>
      <c r="AH14" s="518">
        <f>+SUM(AH11:AH13)</f>
        <v>26587.203950423347</v>
      </c>
      <c r="AI14" s="519">
        <f>+AH14/'État des Résultats'!AI14</f>
        <v>0.30313644621721897</v>
      </c>
      <c r="AJ14" s="321"/>
      <c r="AK14" s="518">
        <f>+SUM(AK11:AK13)</f>
        <v>29547.082270621187</v>
      </c>
      <c r="AL14" s="519">
        <f>+AK14/'État des Résultats'!AL14</f>
        <v>0.30313644621721902</v>
      </c>
      <c r="AM14" s="321"/>
      <c r="AN14" s="321"/>
      <c r="AO14" s="520">
        <f>SUM(AO11:AO13)</f>
        <v>319665.87616666674</v>
      </c>
      <c r="AP14" s="521">
        <f>+AO14/'État des Résultats'!AP14</f>
        <v>0.30313644621721902</v>
      </c>
      <c r="AQ14" s="317"/>
      <c r="AR14" s="210"/>
      <c r="AS14" s="210"/>
      <c r="AT14" s="210"/>
      <c r="AU14" s="210"/>
      <c r="AV14" s="210"/>
    </row>
    <row r="15" spans="2:55" x14ac:dyDescent="0.15">
      <c r="B15" s="217"/>
      <c r="D15" s="322"/>
      <c r="E15" s="191"/>
      <c r="G15" s="322"/>
      <c r="H15" s="191"/>
      <c r="J15" s="322"/>
      <c r="K15" s="191"/>
      <c r="M15" s="322"/>
      <c r="N15" s="191"/>
      <c r="O15" s="192"/>
      <c r="P15" s="322"/>
      <c r="Q15" s="191"/>
      <c r="S15" s="322"/>
      <c r="T15" s="191"/>
      <c r="V15" s="322"/>
      <c r="W15" s="191"/>
      <c r="Y15" s="322"/>
      <c r="Z15" s="191"/>
      <c r="AB15" s="322"/>
      <c r="AC15" s="191"/>
      <c r="AE15" s="322"/>
      <c r="AF15" s="191"/>
      <c r="AH15" s="322"/>
      <c r="AI15" s="191"/>
      <c r="AK15" s="322"/>
      <c r="AL15" s="191"/>
      <c r="AO15" s="316"/>
      <c r="AP15" s="194"/>
    </row>
    <row r="16" spans="2:55" ht="15" customHeight="1" x14ac:dyDescent="0.15">
      <c r="B16" s="240" t="str">
        <f>'État des Résultats'!C16</f>
        <v>Coût des produits vendus</v>
      </c>
      <c r="C16" s="261"/>
      <c r="D16" s="323">
        <f>D14</f>
        <v>22124.918754574093</v>
      </c>
      <c r="E16" s="324">
        <f>E14</f>
        <v>0.30313644621721902</v>
      </c>
      <c r="F16" s="261"/>
      <c r="G16" s="323">
        <f>G14</f>
        <v>21445.135273931977</v>
      </c>
      <c r="H16" s="324">
        <f>H14</f>
        <v>0.30313644621721897</v>
      </c>
      <c r="I16" s="261"/>
      <c r="J16" s="323">
        <f>J14</f>
        <v>23897.003896418915</v>
      </c>
      <c r="K16" s="324">
        <f>K14</f>
        <v>0.30313644621721897</v>
      </c>
      <c r="L16" s="261"/>
      <c r="M16" s="323">
        <f>M14</f>
        <v>25080.908592008076</v>
      </c>
      <c r="N16" s="324">
        <f>N14</f>
        <v>0.30313644621721902</v>
      </c>
      <c r="O16" s="266"/>
      <c r="P16" s="323">
        <f>P14</f>
        <v>27003.717974572501</v>
      </c>
      <c r="Q16" s="324">
        <f>Q14</f>
        <v>0.30313644621721902</v>
      </c>
      <c r="R16" s="261"/>
      <c r="S16" s="323">
        <f>S14</f>
        <v>27751.142311368705</v>
      </c>
      <c r="T16" s="324">
        <f>T14</f>
        <v>0.30313644621721902</v>
      </c>
      <c r="U16" s="261"/>
      <c r="V16" s="323">
        <f>V14</f>
        <v>29807.93876100226</v>
      </c>
      <c r="W16" s="324">
        <f>W14</f>
        <v>0.30313644621721897</v>
      </c>
      <c r="X16" s="261"/>
      <c r="Y16" s="323">
        <f>Y14</f>
        <v>30201.381070229814</v>
      </c>
      <c r="Z16" s="324">
        <f>Z14</f>
        <v>0.30313644621721897</v>
      </c>
      <c r="AA16" s="261"/>
      <c r="AB16" s="323">
        <f>AB14</f>
        <v>27615.903038162993</v>
      </c>
      <c r="AC16" s="324">
        <f>AC14</f>
        <v>0.30313644621721897</v>
      </c>
      <c r="AD16" s="261"/>
      <c r="AE16" s="323">
        <f>AE14</f>
        <v>28603.540273352883</v>
      </c>
      <c r="AF16" s="324">
        <f>AF14</f>
        <v>0.30313644621721902</v>
      </c>
      <c r="AG16" s="261"/>
      <c r="AH16" s="323">
        <f>AH14</f>
        <v>26587.203950423347</v>
      </c>
      <c r="AI16" s="324">
        <f>AI14</f>
        <v>0.30313644621721897</v>
      </c>
      <c r="AJ16" s="261"/>
      <c r="AK16" s="323">
        <f>AK14</f>
        <v>29547.082270621187</v>
      </c>
      <c r="AL16" s="324">
        <f>AL14</f>
        <v>0.30313644621721902</v>
      </c>
      <c r="AM16" s="261"/>
      <c r="AN16" s="261"/>
      <c r="AO16" s="325">
        <f>+$AK16+$AH16+$AE16+$AB16+$Y16+$V16+$S16+$P16+$M16+$J16+$G16+$D16</f>
        <v>319665.87616666674</v>
      </c>
      <c r="AP16" s="228">
        <f>+AO16/'État des Résultats'!AP14</f>
        <v>0.30313644621721902</v>
      </c>
    </row>
    <row r="17" spans="2:45" x14ac:dyDescent="0.15">
      <c r="B17" s="200"/>
      <c r="D17" s="322"/>
      <c r="E17" s="191"/>
      <c r="G17" s="322"/>
      <c r="H17" s="191"/>
      <c r="J17" s="322"/>
      <c r="K17" s="191"/>
      <c r="M17" s="322"/>
      <c r="N17" s="191"/>
      <c r="O17" s="192"/>
      <c r="P17" s="322"/>
      <c r="Q17" s="191"/>
      <c r="S17" s="322"/>
      <c r="T17" s="191"/>
      <c r="V17" s="322"/>
      <c r="W17" s="191"/>
      <c r="Y17" s="322"/>
      <c r="Z17" s="191"/>
      <c r="AB17" s="322"/>
      <c r="AC17" s="191"/>
      <c r="AE17" s="322"/>
      <c r="AF17" s="191"/>
      <c r="AH17" s="322"/>
      <c r="AI17" s="191"/>
      <c r="AK17" s="322"/>
      <c r="AL17" s="191"/>
      <c r="AO17" s="325"/>
      <c r="AP17" s="194"/>
    </row>
    <row r="18" spans="2:45" ht="15" customHeight="1" x14ac:dyDescent="0.15">
      <c r="B18" s="231" t="s">
        <v>190</v>
      </c>
      <c r="D18" s="322">
        <f>+SUM(D11:D12)</f>
        <v>22124.918754574093</v>
      </c>
      <c r="E18" s="191">
        <f>+D18/('État des Résultats'!E11+'État des Résultats'!E12)</f>
        <v>0.30313644621721891</v>
      </c>
      <c r="G18" s="322">
        <f>SUM(G11:G12)</f>
        <v>21445.135273931977</v>
      </c>
      <c r="H18" s="191">
        <f>+G18/('État des Résultats'!H11+'État des Résultats'!H12)</f>
        <v>0.30313644621721891</v>
      </c>
      <c r="J18" s="322">
        <f>SUM(J11:J12)</f>
        <v>23897.003896418915</v>
      </c>
      <c r="K18" s="191">
        <f>+J18/('État des Résultats'!K11+'État des Résultats'!K12)</f>
        <v>0.30313644621721886</v>
      </c>
      <c r="M18" s="322">
        <f>SUM(M11:M12)</f>
        <v>25080.908592008076</v>
      </c>
      <c r="N18" s="191">
        <f>+M18/('État des Résultats'!N11+'État des Résultats'!N12)</f>
        <v>0.30313644621721897</v>
      </c>
      <c r="O18" s="192"/>
      <c r="P18" s="322">
        <f>SUM(P11:P12)</f>
        <v>27003.717974572501</v>
      </c>
      <c r="Q18" s="191">
        <f>+P18/('État des Résultats'!Q11+'État des Résultats'!Q12)</f>
        <v>0.30313644621721891</v>
      </c>
      <c r="S18" s="322">
        <f>SUM(S11:S12)</f>
        <v>27751.142311368705</v>
      </c>
      <c r="T18" s="191">
        <f>+S18/('État des Résultats'!T11+'État des Résultats'!T12)</f>
        <v>0.30313644621721891</v>
      </c>
      <c r="V18" s="322">
        <f>SUM(V11:V12)</f>
        <v>29807.93876100226</v>
      </c>
      <c r="W18" s="191">
        <f>+V18/('État des Résultats'!W11+'État des Résultats'!W12)</f>
        <v>0.30313644621721886</v>
      </c>
      <c r="Y18" s="322">
        <f>SUM(Y11:Y12)</f>
        <v>30201.381070229814</v>
      </c>
      <c r="Z18" s="191">
        <f>+Y18/('État des Résultats'!Z11+'État des Résultats'!Z12)</f>
        <v>0.30313644621721891</v>
      </c>
      <c r="AB18" s="322">
        <f>SUM(AB11:AB12)</f>
        <v>27615.903038162993</v>
      </c>
      <c r="AC18" s="191">
        <f>+AB18/('État des Résultats'!AC11+'État des Résultats'!AC12)</f>
        <v>0.30313644621721886</v>
      </c>
      <c r="AE18" s="322">
        <f>SUM(AE11:AE12)</f>
        <v>28603.540273352883</v>
      </c>
      <c r="AF18" s="191">
        <f>+AE18/('État des Résultats'!AF11+'État des Résultats'!AF12)</f>
        <v>0.30313644621721891</v>
      </c>
      <c r="AH18" s="322">
        <f>SUM(AH11:AH12)</f>
        <v>26587.203950423347</v>
      </c>
      <c r="AI18" s="191">
        <f>+AH18/('État des Résultats'!AI11+'État des Résultats'!AI12)</f>
        <v>0.30313644621721891</v>
      </c>
      <c r="AK18" s="322">
        <f>SUM(AK11:AK12)</f>
        <v>29547.082270621187</v>
      </c>
      <c r="AL18" s="191">
        <f>+AK18/('État des Résultats'!AL11+'État des Résultats'!AL12)</f>
        <v>0.30313644621721891</v>
      </c>
      <c r="AO18" s="325">
        <f>+$AK18+$AH18+$AE18+$AB18+$Y18+$V18+$S18+$P18+$M18+$J18+$G18+$D18</f>
        <v>319665.87616666674</v>
      </c>
      <c r="AP18" s="194">
        <f>+AO18/('État des Résultats'!AP11+'État des Résultats'!AP12)</f>
        <v>0.30313644621721897</v>
      </c>
    </row>
    <row r="19" spans="2:45" ht="15" customHeight="1" x14ac:dyDescent="0.15">
      <c r="B19" s="200" t="s">
        <v>171</v>
      </c>
      <c r="D19" s="322">
        <f>+D11</f>
        <v>11078.703410530976</v>
      </c>
      <c r="E19" s="191">
        <f>+D19/'État des Résultats'!E11</f>
        <v>0.30761245674740478</v>
      </c>
      <c r="G19" s="322">
        <f>+G11</f>
        <v>10738.312575701111</v>
      </c>
      <c r="H19" s="191">
        <f>+G19/'État des Résultats'!H11</f>
        <v>0.30761245674740478</v>
      </c>
      <c r="J19" s="322">
        <f>+J11</f>
        <v>11966.047039788315</v>
      </c>
      <c r="K19" s="191">
        <f>+J19/'État des Résultats'!K11</f>
        <v>0.30761245674740478</v>
      </c>
      <c r="M19" s="322">
        <f>+M11</f>
        <v>12558.868606016918</v>
      </c>
      <c r="N19" s="191">
        <f>+M19/'État des Résultats'!N11</f>
        <v>0.30761245674740478</v>
      </c>
      <c r="O19" s="192"/>
      <c r="P19" s="322">
        <f>+P11</f>
        <v>13521.685016812255</v>
      </c>
      <c r="Q19" s="191">
        <f>+P19/'État des Résultats'!Q11</f>
        <v>0.30761245674740478</v>
      </c>
      <c r="S19" s="322">
        <f>+S11</f>
        <v>13895.945941384738</v>
      </c>
      <c r="T19" s="191">
        <f>+S19/'État des Résultats'!T11</f>
        <v>0.30761245674740478</v>
      </c>
      <c r="V19" s="322">
        <f>+V11</f>
        <v>14925.854258522057</v>
      </c>
      <c r="W19" s="191">
        <f>+V19/'État des Résultats'!W11</f>
        <v>0.30761245674740478</v>
      </c>
      <c r="Y19" s="322">
        <f>+Y11</f>
        <v>15122.864277019202</v>
      </c>
      <c r="Z19" s="191">
        <f>+Y19/'État des Résultats'!Z11</f>
        <v>0.30761245674740478</v>
      </c>
      <c r="AB19" s="322">
        <f>+AB11</f>
        <v>13828.22701260937</v>
      </c>
      <c r="AC19" s="191">
        <f>+AB19/'État des Résultats'!AC11</f>
        <v>0.30761245674740478</v>
      </c>
      <c r="AE19" s="322">
        <f>+AE11</f>
        <v>14322.770749797262</v>
      </c>
      <c r="AF19" s="191">
        <f>+AE19/'État des Résultats'!AF11</f>
        <v>0.30761245674740478</v>
      </c>
      <c r="AH19" s="322">
        <f>+AH11</f>
        <v>13313.122201686834</v>
      </c>
      <c r="AI19" s="191">
        <f>+AH19/'État des Résultats'!AI11</f>
        <v>0.30761245674740478</v>
      </c>
      <c r="AK19" s="322">
        <f>+AK11</f>
        <v>14795.234493464321</v>
      </c>
      <c r="AL19" s="191">
        <f>+AK19/'État des Résultats'!AL11</f>
        <v>0.30761245674740478</v>
      </c>
      <c r="AO19" s="316">
        <f>+AO11</f>
        <v>160067.63558333335</v>
      </c>
      <c r="AP19" s="194">
        <f>+AO19/'État des Résultats'!AP11</f>
        <v>0.30761245674740484</v>
      </c>
    </row>
    <row r="20" spans="2:45" ht="15" customHeight="1" x14ac:dyDescent="0.15">
      <c r="B20" s="200" t="s">
        <v>172</v>
      </c>
      <c r="C20" s="209"/>
      <c r="D20" s="322">
        <f>+D12</f>
        <v>11046.215344043118</v>
      </c>
      <c r="E20" s="191">
        <f>D20/'État des Résultats'!E12</f>
        <v>0.29877622377622376</v>
      </c>
      <c r="G20" s="322">
        <f>+G12</f>
        <v>10706.822698230866</v>
      </c>
      <c r="H20" s="191">
        <f>G20/'État des Résultats'!H12</f>
        <v>0.29877622377622376</v>
      </c>
      <c r="J20" s="322">
        <f>+J12</f>
        <v>11930.956856630602</v>
      </c>
      <c r="K20" s="191">
        <f>J20/'État des Résultats'!K12</f>
        <v>0.29877622377622376</v>
      </c>
      <c r="M20" s="322">
        <f>+M12</f>
        <v>12522.039985991156</v>
      </c>
      <c r="N20" s="191">
        <f>M20/'État des Résultats'!N12</f>
        <v>0.29877622377622376</v>
      </c>
      <c r="O20" s="192"/>
      <c r="P20" s="322">
        <f>+P12</f>
        <v>13482.032957760244</v>
      </c>
      <c r="Q20" s="191">
        <f>P20/'État des Résultats'!Q12</f>
        <v>0.29877622377622376</v>
      </c>
      <c r="R20" s="209"/>
      <c r="S20" s="322">
        <f>+S12</f>
        <v>13855.196369983967</v>
      </c>
      <c r="T20" s="191">
        <f>S20/'État des Résultats'!T12</f>
        <v>0.29877622377622376</v>
      </c>
      <c r="V20" s="322">
        <f>+V12</f>
        <v>14882.084502480206</v>
      </c>
      <c r="W20" s="191">
        <f>V20/'État des Résultats'!W12</f>
        <v>0.29877622377622376</v>
      </c>
      <c r="Y20" s="322">
        <f>+Y12</f>
        <v>15078.516793210614</v>
      </c>
      <c r="Z20" s="191">
        <f>Y20/'État des Résultats'!Z12</f>
        <v>0.29877622377622376</v>
      </c>
      <c r="AB20" s="322">
        <f>+AB12</f>
        <v>13787.676025553625</v>
      </c>
      <c r="AC20" s="191">
        <f>AB20/'État des Résultats'!AC12</f>
        <v>0.29877622377622376</v>
      </c>
      <c r="AE20" s="322">
        <f>+AE12</f>
        <v>14280.769523555618</v>
      </c>
      <c r="AF20" s="191">
        <f>AE20/'État des Résultats'!AF12</f>
        <v>0.29877622377622376</v>
      </c>
      <c r="AH20" s="322">
        <f>+AH12</f>
        <v>13274.081748736513</v>
      </c>
      <c r="AI20" s="191">
        <f>AH20/'État des Résultats'!AI12</f>
        <v>0.29877622377622376</v>
      </c>
      <c r="AK20" s="322">
        <f>+AK12</f>
        <v>14751.847777156867</v>
      </c>
      <c r="AL20" s="191">
        <f>AK20/'État des Résultats'!AL12</f>
        <v>0.29877622377622376</v>
      </c>
      <c r="AO20" s="316">
        <f>+AO12</f>
        <v>159598.24058333339</v>
      </c>
      <c r="AP20" s="194">
        <f>AO20/'État des Résultats'!AP12</f>
        <v>0.29877622377622381</v>
      </c>
    </row>
    <row r="21" spans="2:45" ht="14" thickBot="1" x14ac:dyDescent="0.2">
      <c r="B21" s="208"/>
      <c r="D21" s="326"/>
      <c r="E21" s="237"/>
      <c r="F21" s="209"/>
      <c r="G21" s="326"/>
      <c r="H21" s="237"/>
      <c r="I21" s="209"/>
      <c r="J21" s="326"/>
      <c r="K21" s="237"/>
      <c r="L21" s="209"/>
      <c r="M21" s="326"/>
      <c r="N21" s="237"/>
      <c r="O21" s="209"/>
      <c r="P21" s="326"/>
      <c r="Q21" s="237"/>
      <c r="R21" s="209"/>
      <c r="S21" s="326"/>
      <c r="T21" s="237"/>
      <c r="V21" s="326"/>
      <c r="W21" s="237"/>
      <c r="Y21" s="326"/>
      <c r="Z21" s="237"/>
      <c r="AB21" s="326"/>
      <c r="AC21" s="237"/>
      <c r="AE21" s="326"/>
      <c r="AF21" s="237"/>
      <c r="AH21" s="326"/>
      <c r="AI21" s="237"/>
      <c r="AK21" s="326"/>
      <c r="AL21" s="237"/>
      <c r="AO21" s="316"/>
      <c r="AP21" s="238"/>
    </row>
    <row r="22" spans="2:45" ht="20" customHeight="1" x14ac:dyDescent="0.15">
      <c r="B22" s="522" t="s">
        <v>191</v>
      </c>
      <c r="C22" s="327"/>
      <c r="D22" s="524">
        <f>('État des Résultats'!E14-'Coût marchandises vendues'!D14)</f>
        <v>50861.747912092578</v>
      </c>
      <c r="E22" s="525">
        <f>+D22/'État des Résultats'!E14</f>
        <v>0.69686355378278098</v>
      </c>
      <c r="F22" s="327"/>
      <c r="G22" s="524">
        <f>('État des Résultats'!H14-'Coût marchandises vendues'!G14)</f>
        <v>49299.031392734694</v>
      </c>
      <c r="H22" s="525">
        <f>+G22/'État des Résultats'!H14</f>
        <v>0.69686355378278098</v>
      </c>
      <c r="I22" s="327"/>
      <c r="J22" s="524">
        <f>('État des Résultats'!K14-'Coût marchandises vendues'!J14)</f>
        <v>54935.496103581085</v>
      </c>
      <c r="K22" s="525">
        <f>+J22/'État des Résultats'!K14</f>
        <v>0.69686355378278098</v>
      </c>
      <c r="L22" s="327"/>
      <c r="M22" s="524">
        <f>('État des Résultats'!N14-'Coût marchandises vendues'!M14)</f>
        <v>57657.108907991926</v>
      </c>
      <c r="N22" s="525">
        <f>+M22/'État des Résultats'!N14</f>
        <v>0.69686355378278098</v>
      </c>
      <c r="O22" s="327"/>
      <c r="P22" s="524">
        <f>('État des Résultats'!Q14-'Coût marchandises vendues'!P14)</f>
        <v>62077.348692094165</v>
      </c>
      <c r="Q22" s="525">
        <f>+P22/'État des Résultats'!Q14</f>
        <v>0.69686355378278098</v>
      </c>
      <c r="R22" s="327"/>
      <c r="S22" s="524">
        <f>('État des Résultats'!T14-'Coût marchandises vendues'!S14)</f>
        <v>63795.561021964633</v>
      </c>
      <c r="T22" s="525">
        <f>+S22/'État des Résultats'!T14</f>
        <v>0.69686355378278098</v>
      </c>
      <c r="U22" s="251"/>
      <c r="V22" s="524">
        <f>('État des Résultats'!W14-'Coût marchandises vendues'!V14)</f>
        <v>68523.816238997766</v>
      </c>
      <c r="W22" s="525">
        <f>+V22/'État des Résultats'!W14</f>
        <v>0.69686355378278109</v>
      </c>
      <c r="X22" s="327"/>
      <c r="Y22" s="524">
        <f>('État des Résultats'!Z14-'Coût marchandises vendues'!Y14)</f>
        <v>69428.278929770197</v>
      </c>
      <c r="Z22" s="525">
        <f>+Y22/'État des Résultats'!Z14</f>
        <v>0.69686355378278109</v>
      </c>
      <c r="AA22" s="327"/>
      <c r="AB22" s="524">
        <f>('État des Résultats'!AC14-'Coût marchandises vendues'!AB14)</f>
        <v>63484.666961837014</v>
      </c>
      <c r="AC22" s="525">
        <f>+AB22/'État des Résultats'!AC14</f>
        <v>0.69686355378278109</v>
      </c>
      <c r="AD22" s="251"/>
      <c r="AE22" s="524">
        <f>('État des Résultats'!AF14-'Coût marchandises vendues'!AE14)</f>
        <v>65755.091393313807</v>
      </c>
      <c r="AF22" s="525">
        <f>+AE22/'État des Résultats'!AF14</f>
        <v>0.69686355378278109</v>
      </c>
      <c r="AG22" s="251"/>
      <c r="AH22" s="524">
        <f>('État des Résultats'!AI14-'Coût marchandises vendues'!AH14)</f>
        <v>61119.847716243319</v>
      </c>
      <c r="AI22" s="525">
        <f>+AH22/'État des Résultats'!AI14</f>
        <v>0.69686355378278098</v>
      </c>
      <c r="AJ22" s="251"/>
      <c r="AK22" s="524">
        <f>('État des Résultats'!AL14-'Coût marchandises vendues'!AK14)</f>
        <v>67924.147729378819</v>
      </c>
      <c r="AL22" s="525">
        <f>+AK22/'État des Résultats'!AL14</f>
        <v>0.69686355378278098</v>
      </c>
      <c r="AM22" s="251"/>
      <c r="AN22" s="251"/>
      <c r="AO22" s="524">
        <f>('État des Résultats'!AP14-'Coût marchandises vendues'!AO14)</f>
        <v>734862.14299999981</v>
      </c>
      <c r="AP22" s="525">
        <f>+AO22/'État des Résultats'!AP14</f>
        <v>0.69686355378278098</v>
      </c>
      <c r="AR22" s="312" t="s">
        <v>2</v>
      </c>
    </row>
    <row r="23" spans="2:45" ht="14" thickBot="1" x14ac:dyDescent="0.2">
      <c r="B23" s="523"/>
      <c r="C23" s="209"/>
      <c r="D23" s="526"/>
      <c r="E23" s="527"/>
      <c r="F23" s="209"/>
      <c r="G23" s="526"/>
      <c r="H23" s="527"/>
      <c r="I23" s="209"/>
      <c r="J23" s="528"/>
      <c r="K23" s="527"/>
      <c r="L23" s="209"/>
      <c r="M23" s="526"/>
      <c r="N23" s="527"/>
      <c r="O23" s="209"/>
      <c r="P23" s="526"/>
      <c r="Q23" s="527"/>
      <c r="R23" s="209"/>
      <c r="S23" s="526"/>
      <c r="T23" s="527"/>
      <c r="U23" s="209"/>
      <c r="V23" s="528"/>
      <c r="W23" s="527"/>
      <c r="X23" s="209"/>
      <c r="Y23" s="526"/>
      <c r="Z23" s="527"/>
      <c r="AA23" s="209"/>
      <c r="AB23" s="526"/>
      <c r="AC23" s="527"/>
      <c r="AD23" s="209"/>
      <c r="AE23" s="526"/>
      <c r="AF23" s="527"/>
      <c r="AG23" s="209"/>
      <c r="AH23" s="526"/>
      <c r="AI23" s="527"/>
      <c r="AJ23" s="209"/>
      <c r="AK23" s="526"/>
      <c r="AL23" s="527"/>
      <c r="AO23" s="526"/>
      <c r="AP23" s="527"/>
    </row>
    <row r="24" spans="2:45" ht="15" thickTop="1" thickBot="1" x14ac:dyDescent="0.2">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s="329"/>
    </row>
    <row r="25" spans="2:45" ht="14" thickTop="1" x14ac:dyDescent="0.15">
      <c r="B25" s="1181" t="s">
        <v>619</v>
      </c>
      <c r="C25" s="1139"/>
      <c r="D25" s="1182"/>
      <c r="E25" s="1183"/>
      <c r="F25" s="1139"/>
      <c r="G25" s="1182"/>
      <c r="H25" s="1183"/>
      <c r="I25" s="1139"/>
      <c r="J25" s="1182"/>
      <c r="K25" s="1183"/>
      <c r="L25" s="1139"/>
      <c r="M25" s="1182"/>
      <c r="N25" s="1183"/>
      <c r="O25" s="1139"/>
      <c r="P25" s="1182"/>
      <c r="Q25" s="1183"/>
      <c r="R25" s="1139"/>
      <c r="S25" s="1182"/>
      <c r="T25" s="1183"/>
      <c r="U25" s="1139"/>
      <c r="V25" s="1182"/>
      <c r="W25" s="1183"/>
      <c r="X25" s="1139"/>
      <c r="Y25" s="1182"/>
      <c r="Z25" s="1183"/>
      <c r="AA25" s="1139"/>
      <c r="AB25" s="1182"/>
      <c r="AC25" s="1183"/>
      <c r="AD25" s="1139"/>
      <c r="AE25" s="1182"/>
      <c r="AF25" s="1183"/>
      <c r="AG25" s="1139"/>
      <c r="AH25" s="1182"/>
      <c r="AI25" s="1183"/>
      <c r="AJ25" s="1139"/>
      <c r="AK25" s="1182"/>
      <c r="AL25" s="1183"/>
      <c r="AM25" s="127"/>
      <c r="AN25" s="127"/>
      <c r="AO25" s="1182"/>
      <c r="AP25" s="1183"/>
      <c r="AQ25"/>
      <c r="AR25"/>
      <c r="AS25" s="329"/>
    </row>
    <row r="26" spans="2:45" x14ac:dyDescent="0.15">
      <c r="B26" s="1138" t="s">
        <v>620</v>
      </c>
      <c r="C26" s="1139"/>
      <c r="D26" s="1147">
        <f>+D58+D41</f>
        <v>9991.8987923882996</v>
      </c>
      <c r="E26" s="1141"/>
      <c r="F26" s="1139"/>
      <c r="G26" s="1140">
        <f>D29</f>
        <v>9684.8998011305703</v>
      </c>
      <c r="H26" s="1141"/>
      <c r="I26" s="1139"/>
      <c r="J26" s="1140">
        <f>G29</f>
        <v>11948.501948209458</v>
      </c>
      <c r="K26" s="1141"/>
      <c r="L26" s="1139"/>
      <c r="M26" s="1140">
        <f>J29</f>
        <v>11326.86194477784</v>
      </c>
      <c r="N26" s="1141"/>
      <c r="O26" s="1139"/>
      <c r="P26" s="1140">
        <f>M29</f>
        <v>12601.7350548005</v>
      </c>
      <c r="Q26" s="1141"/>
      <c r="R26" s="1139"/>
      <c r="S26" s="1140">
        <f>P29</f>
        <v>12532.773947069738</v>
      </c>
      <c r="T26" s="1141"/>
      <c r="U26" s="1139"/>
      <c r="V26" s="1140">
        <f>S29</f>
        <v>13910.371421801057</v>
      </c>
      <c r="W26" s="1141"/>
      <c r="X26" s="1139"/>
      <c r="Y26" s="1140">
        <f>V29</f>
        <v>13639.333386555401</v>
      </c>
      <c r="Z26" s="1141"/>
      <c r="AA26" s="1139"/>
      <c r="AB26" s="1140">
        <f>Y29</f>
        <v>12471.698146267157</v>
      </c>
      <c r="AC26" s="1141"/>
      <c r="AD26" s="1139"/>
      <c r="AE26" s="1140">
        <f>AB29</f>
        <v>13348.318794231345</v>
      </c>
      <c r="AF26" s="1141"/>
      <c r="AG26" s="1139"/>
      <c r="AH26" s="1140">
        <f>AE29</f>
        <v>12007.124364707317</v>
      </c>
      <c r="AI26" s="1141"/>
      <c r="AJ26" s="1139"/>
      <c r="AK26" s="1140">
        <f>AH29</f>
        <v>13788.638392956555</v>
      </c>
      <c r="AL26" s="1141"/>
      <c r="AM26" s="127"/>
      <c r="AN26" s="127"/>
      <c r="AO26" s="1211">
        <f>D26</f>
        <v>9991.8987923882996</v>
      </c>
      <c r="AP26" s="1141"/>
      <c r="AQ26"/>
      <c r="AR26"/>
      <c r="AS26" s="329"/>
    </row>
    <row r="27" spans="2:45" x14ac:dyDescent="0.15">
      <c r="B27" s="1138" t="s">
        <v>605</v>
      </c>
      <c r="C27" s="1139"/>
      <c r="D27" s="1140">
        <f>D42+D59</f>
        <v>21817.919763316364</v>
      </c>
      <c r="E27" s="1141"/>
      <c r="F27" s="1139"/>
      <c r="G27" s="1140">
        <f>G28-G26</f>
        <v>23708.737421010865</v>
      </c>
      <c r="H27" s="1141"/>
      <c r="I27" s="1139"/>
      <c r="J27" s="1140">
        <f>J28-J26</f>
        <v>23275.363892987298</v>
      </c>
      <c r="K27" s="1141"/>
      <c r="L27" s="1139"/>
      <c r="M27" s="1140">
        <f>M28-M26</f>
        <v>26355.781702030734</v>
      </c>
      <c r="N27" s="1141"/>
      <c r="O27" s="1139"/>
      <c r="P27" s="1140">
        <f>P28-P26</f>
        <v>26934.756866841744</v>
      </c>
      <c r="Q27" s="1141"/>
      <c r="R27" s="1139"/>
      <c r="S27" s="1140">
        <f>S28-S26</f>
        <v>29128.739786100025</v>
      </c>
      <c r="T27" s="1141"/>
      <c r="U27" s="1139"/>
      <c r="V27" s="1140">
        <f>V28-V26</f>
        <v>29536.900725756605</v>
      </c>
      <c r="W27" s="1141"/>
      <c r="X27" s="1139"/>
      <c r="Y27" s="1140">
        <f>Y28-Y26</f>
        <v>29033.745829941574</v>
      </c>
      <c r="Z27" s="1141"/>
      <c r="AA27" s="1139"/>
      <c r="AB27" s="1140">
        <f>AB28-AB26</f>
        <v>28492.523686127181</v>
      </c>
      <c r="AC27" s="1141"/>
      <c r="AD27" s="1139"/>
      <c r="AE27" s="1140">
        <f>AE28-AE26</f>
        <v>27262.345843828858</v>
      </c>
      <c r="AF27" s="1141"/>
      <c r="AG27" s="1139"/>
      <c r="AH27" s="1140">
        <f>AH28-AH26</f>
        <v>28368.717978672586</v>
      </c>
      <c r="AI27" s="1141"/>
      <c r="AJ27" s="1139"/>
      <c r="AK27" s="1140">
        <f>AK28-AK26</f>
        <v>26749.532549291762</v>
      </c>
      <c r="AL27" s="1141"/>
      <c r="AM27" s="127"/>
      <c r="AN27" s="127"/>
      <c r="AO27" s="1140">
        <f>AO28-AO26</f>
        <v>320665.06604590552</v>
      </c>
      <c r="AP27" s="1141"/>
      <c r="AQ27"/>
      <c r="AR27"/>
      <c r="AS27" s="329"/>
    </row>
    <row r="28" spans="2:45" x14ac:dyDescent="0.15">
      <c r="B28" s="1138" t="s">
        <v>606</v>
      </c>
      <c r="C28" s="1139"/>
      <c r="D28" s="1140">
        <f>+D26+D27</f>
        <v>31809.818555704664</v>
      </c>
      <c r="E28" s="1142" t="s">
        <v>2</v>
      </c>
      <c r="F28" s="1139"/>
      <c r="G28" s="1140">
        <f>G30+G29</f>
        <v>33393.637222141435</v>
      </c>
      <c r="H28" s="1141"/>
      <c r="I28" s="1139"/>
      <c r="J28" s="1140">
        <f>J30+J29</f>
        <v>35223.865841196755</v>
      </c>
      <c r="K28" s="1141"/>
      <c r="L28" s="1139"/>
      <c r="M28" s="1140">
        <f>M30+M29</f>
        <v>37682.643646808574</v>
      </c>
      <c r="N28" s="1141"/>
      <c r="O28" s="1139"/>
      <c r="P28" s="1140">
        <f>P30+P29</f>
        <v>39536.491921642242</v>
      </c>
      <c r="Q28" s="1141"/>
      <c r="R28" s="1139"/>
      <c r="S28" s="1140">
        <f>S30+S29</f>
        <v>41661.513733169762</v>
      </c>
      <c r="T28" s="1141"/>
      <c r="U28" s="1139"/>
      <c r="V28" s="1140">
        <f>V30+V29</f>
        <v>43447.272147557662</v>
      </c>
      <c r="W28" s="1141"/>
      <c r="X28" s="1139"/>
      <c r="Y28" s="1140">
        <f>Y30+Y29</f>
        <v>42673.079216496975</v>
      </c>
      <c r="Z28" s="1141"/>
      <c r="AA28" s="1139"/>
      <c r="AB28" s="1140">
        <f>AB30+AB29</f>
        <v>40964.221832394338</v>
      </c>
      <c r="AC28" s="1141"/>
      <c r="AD28" s="1139"/>
      <c r="AE28" s="1140">
        <f>AE29+AE30</f>
        <v>40610.664638060203</v>
      </c>
      <c r="AF28" s="1141"/>
      <c r="AG28" s="1139"/>
      <c r="AH28" s="1140">
        <f>AH29+AH30</f>
        <v>40375.842343379903</v>
      </c>
      <c r="AI28" s="1141"/>
      <c r="AJ28" s="1139"/>
      <c r="AK28" s="1140">
        <f>AK29+AK30</f>
        <v>40538.170942248318</v>
      </c>
      <c r="AL28" s="1141"/>
      <c r="AM28" s="127"/>
      <c r="AN28" s="127"/>
      <c r="AO28" s="1140">
        <f>AO29+AO30</f>
        <v>330656.96483829385</v>
      </c>
      <c r="AP28" s="1141"/>
      <c r="AQ28"/>
      <c r="AR28"/>
      <c r="AS28" s="329"/>
    </row>
    <row r="29" spans="2:45" x14ac:dyDescent="0.15">
      <c r="B29" s="1138" t="s">
        <v>607</v>
      </c>
      <c r="C29" s="1139"/>
      <c r="D29" s="1143">
        <f>(D44+D61)</f>
        <v>9684.8998011305703</v>
      </c>
      <c r="E29" s="1142" t="s">
        <v>2</v>
      </c>
      <c r="F29" s="1139"/>
      <c r="G29" s="1143">
        <f>(G44+G61)</f>
        <v>11948.501948209458</v>
      </c>
      <c r="H29" s="1141"/>
      <c r="I29" s="1144"/>
      <c r="J29" s="1143">
        <f>(J44+J61)</f>
        <v>11326.86194477784</v>
      </c>
      <c r="K29" s="1141"/>
      <c r="L29" s="1139"/>
      <c r="M29" s="1143">
        <f>(M44+M61)</f>
        <v>12601.7350548005</v>
      </c>
      <c r="N29" s="1141"/>
      <c r="O29" s="1139"/>
      <c r="P29" s="1143">
        <f>(P44+P61)</f>
        <v>12532.773947069738</v>
      </c>
      <c r="Q29" s="1141"/>
      <c r="R29" s="1139"/>
      <c r="S29" s="1143">
        <f>(S44+S61)</f>
        <v>13910.371421801057</v>
      </c>
      <c r="T29" s="1141"/>
      <c r="U29" s="1139"/>
      <c r="V29" s="1143">
        <f>(V44+V61)</f>
        <v>13639.333386555401</v>
      </c>
      <c r="W29" s="1141"/>
      <c r="X29" s="1139"/>
      <c r="Y29" s="1143">
        <f>(Y44+Y61)</f>
        <v>12471.698146267157</v>
      </c>
      <c r="Z29" s="1141"/>
      <c r="AA29" s="1139"/>
      <c r="AB29" s="1143">
        <f>(AB44+AB61)</f>
        <v>13348.318794231345</v>
      </c>
      <c r="AC29" s="1141"/>
      <c r="AD29" s="1139"/>
      <c r="AE29" s="1143">
        <f>(AE44+AE61)</f>
        <v>12007.124364707317</v>
      </c>
      <c r="AF29" s="1141"/>
      <c r="AG29" s="1139"/>
      <c r="AH29" s="1143">
        <f>(AH44+AH61)</f>
        <v>13788.638392956555</v>
      </c>
      <c r="AI29" s="1141"/>
      <c r="AJ29" s="1139"/>
      <c r="AK29" s="1143">
        <f>(AK44+AK61)</f>
        <v>10991.088671627131</v>
      </c>
      <c r="AL29" s="1141"/>
      <c r="AM29" s="127"/>
      <c r="AN29" s="127"/>
      <c r="AO29" s="1145">
        <f>+AK29</f>
        <v>10991.088671627131</v>
      </c>
      <c r="AP29" s="1141"/>
      <c r="AQ29"/>
      <c r="AR29"/>
      <c r="AS29" s="329"/>
    </row>
    <row r="30" spans="2:45" x14ac:dyDescent="0.15">
      <c r="B30" s="1146" t="s">
        <v>608</v>
      </c>
      <c r="C30" s="1139"/>
      <c r="D30" s="1147">
        <f>D18</f>
        <v>22124.918754574093</v>
      </c>
      <c r="E30" s="1142" t="s">
        <v>2</v>
      </c>
      <c r="F30" s="1139"/>
      <c r="G30" s="1145">
        <f>G18</f>
        <v>21445.135273931977</v>
      </c>
      <c r="H30" s="1141"/>
      <c r="I30" s="1144"/>
      <c r="J30" s="1145">
        <f>J18</f>
        <v>23897.003896418915</v>
      </c>
      <c r="K30" s="1141"/>
      <c r="L30" s="1139"/>
      <c r="M30" s="1145">
        <f>M18</f>
        <v>25080.908592008076</v>
      </c>
      <c r="N30" s="1141"/>
      <c r="O30" s="1139"/>
      <c r="P30" s="1145">
        <f>P18</f>
        <v>27003.717974572501</v>
      </c>
      <c r="Q30" s="1141"/>
      <c r="R30" s="1139"/>
      <c r="S30" s="1145">
        <f>S18</f>
        <v>27751.142311368705</v>
      </c>
      <c r="T30" s="1141"/>
      <c r="U30" s="1139"/>
      <c r="V30" s="1145">
        <f>V18</f>
        <v>29807.93876100226</v>
      </c>
      <c r="W30" s="1141"/>
      <c r="X30" s="1139"/>
      <c r="Y30" s="1145">
        <f>Y18</f>
        <v>30201.381070229814</v>
      </c>
      <c r="Z30" s="1141"/>
      <c r="AA30" s="1139"/>
      <c r="AB30" s="1145">
        <f>AB18</f>
        <v>27615.903038162993</v>
      </c>
      <c r="AC30" s="1141"/>
      <c r="AD30" s="1139"/>
      <c r="AE30" s="1145">
        <f>AE18</f>
        <v>28603.540273352883</v>
      </c>
      <c r="AF30" s="1141"/>
      <c r="AG30" s="1139"/>
      <c r="AH30" s="1145">
        <f>AH18</f>
        <v>26587.203950423347</v>
      </c>
      <c r="AI30" s="1141"/>
      <c r="AJ30" s="1139"/>
      <c r="AK30" s="1145">
        <f>AK18</f>
        <v>29547.082270621187</v>
      </c>
      <c r="AL30" s="1141"/>
      <c r="AM30" s="127"/>
      <c r="AN30" s="127"/>
      <c r="AO30" s="1145">
        <f>AO18</f>
        <v>319665.87616666674</v>
      </c>
      <c r="AP30" s="1141"/>
      <c r="AQ30"/>
      <c r="AR30"/>
      <c r="AS30" s="329"/>
    </row>
    <row r="31" spans="2:45" x14ac:dyDescent="0.15">
      <c r="B31" s="1138" t="str">
        <f>'Ind. de performance'!E22</f>
        <v>Taux de rotation des stocks</v>
      </c>
      <c r="C31" s="1139"/>
      <c r="D31" s="1148">
        <f>D30/((D26+D29)/2)</f>
        <v>2.2488331777570343</v>
      </c>
      <c r="E31" s="1149" t="s">
        <v>609</v>
      </c>
      <c r="F31" s="1139"/>
      <c r="G31" s="1148">
        <f>G30/((G26+G29)/2)</f>
        <v>1.9825948338971893</v>
      </c>
      <c r="H31" s="1149" t="str">
        <f>E31</f>
        <v>X</v>
      </c>
      <c r="I31" s="1144"/>
      <c r="J31" s="1148">
        <f>J30/((J26+J29)/2)</f>
        <v>2.0534161361592216</v>
      </c>
      <c r="K31" s="1149" t="str">
        <f>H31</f>
        <v>X</v>
      </c>
      <c r="L31" s="1139"/>
      <c r="M31" s="1148">
        <f>M30/((M26+M29)/2)</f>
        <v>2.0963125077872342</v>
      </c>
      <c r="N31" s="1149" t="str">
        <f>K31</f>
        <v>X</v>
      </c>
      <c r="O31" s="1139"/>
      <c r="P31" s="1148">
        <f>P30/((P26+P29)/2)</f>
        <v>2.1487364620938627</v>
      </c>
      <c r="Q31" s="1149" t="str">
        <f>N31</f>
        <v>X</v>
      </c>
      <c r="R31" s="1139"/>
      <c r="S31" s="1148">
        <f>S30/((S26+S29)/2)</f>
        <v>2.0989289983662611</v>
      </c>
      <c r="T31" s="1149" t="str">
        <f>Q31</f>
        <v>X</v>
      </c>
      <c r="U31" s="1139"/>
      <c r="V31" s="1148">
        <f>V30/((V26+V29)/2)</f>
        <v>2.1639388856145438</v>
      </c>
      <c r="W31" s="1149" t="str">
        <f>T31</f>
        <v>X</v>
      </c>
      <c r="X31" s="1139"/>
      <c r="Y31" s="1148">
        <f>Y30/((Y26+Y29)/2)</f>
        <v>2.3133043236737341</v>
      </c>
      <c r="Z31" s="1149" t="str">
        <f>W31</f>
        <v>X</v>
      </c>
      <c r="AA31" s="1139"/>
      <c r="AB31" s="1148">
        <f>AB30/((AB26+AB29)/2)</f>
        <v>2.1391080495263082</v>
      </c>
      <c r="AC31" s="1149" t="str">
        <f>Z31</f>
        <v>X</v>
      </c>
      <c r="AD31" s="1139"/>
      <c r="AE31" s="1148">
        <f>AE30/((AE26+AE29)/2)</f>
        <v>2.2562051149375519</v>
      </c>
      <c r="AF31" s="1149" t="str">
        <f>AC31</f>
        <v>X</v>
      </c>
      <c r="AG31" s="1139"/>
      <c r="AH31" s="1148">
        <f>AH30/((AH26+AH29)/2)</f>
        <v>2.0613621082031655</v>
      </c>
      <c r="AI31" s="1149" t="str">
        <f>AF31</f>
        <v>X</v>
      </c>
      <c r="AJ31" s="1139"/>
      <c r="AK31" s="1148">
        <f>AK30/((AK26+AK29)/2)</f>
        <v>2.3847786695642204</v>
      </c>
      <c r="AL31" s="1149" t="str">
        <f>AI31</f>
        <v>X</v>
      </c>
      <c r="AM31" s="127"/>
      <c r="AN31" s="127"/>
      <c r="AO31" s="1148">
        <f>AO30/((AO26+AO29)/2)</f>
        <v>30.469052770953098</v>
      </c>
      <c r="AP31" s="1149" t="str">
        <f>AL31</f>
        <v>X</v>
      </c>
      <c r="AQ31"/>
      <c r="AR31"/>
      <c r="AS31" s="329"/>
    </row>
    <row r="32" spans="2:45" ht="14" thickBot="1" x14ac:dyDescent="0.2">
      <c r="B32" s="1150" t="str">
        <f>'Ind. de performance'!E23</f>
        <v>Niveau des stocks  (nombre de jours de provision)</v>
      </c>
      <c r="C32" s="1139"/>
      <c r="D32" s="1151">
        <f>'% Occupation'!D9/'Coût marchandises vendues'!D31</f>
        <v>13.784926470588236</v>
      </c>
      <c r="E32" s="1152" t="s">
        <v>486</v>
      </c>
      <c r="F32" s="1139"/>
      <c r="G32" s="1151">
        <f>'% Occupation'!E9/'Coût marchandises vendues'!G31</f>
        <v>14.122905760306237</v>
      </c>
      <c r="H32" s="1152" t="str">
        <f>E32</f>
        <v>jours</v>
      </c>
      <c r="I32" s="1144"/>
      <c r="J32" s="1151">
        <f>'% Occupation'!F9/'Coût marchandises vendues'!J31</f>
        <v>15.096793803317158</v>
      </c>
      <c r="K32" s="1152" t="str">
        <f>H32</f>
        <v>jours</v>
      </c>
      <c r="L32" s="1139"/>
      <c r="M32" s="1151">
        <f>'% Occupation'!G9/'Coût marchandises vendues'!M31</f>
        <v>14.310843392174645</v>
      </c>
      <c r="N32" s="1152" t="str">
        <f>K32</f>
        <v>jours</v>
      </c>
      <c r="O32" s="1139"/>
      <c r="P32" s="1151">
        <f>'% Occupation'!H9/'Coût marchandises vendues'!P31</f>
        <v>14.427083333333334</v>
      </c>
      <c r="Q32" s="1152" t="str">
        <f>N32</f>
        <v>jours</v>
      </c>
      <c r="R32" s="1139"/>
      <c r="S32" s="1151">
        <f>'% Occupation'!I9/'Coût marchandises vendues'!S31</f>
        <v>14.293003728735481</v>
      </c>
      <c r="T32" s="1152" t="str">
        <f>Q32</f>
        <v>jours</v>
      </c>
      <c r="U32" s="1139"/>
      <c r="V32" s="1151">
        <f>'% Occupation'!J9/'Coût marchandises vendues'!V31</f>
        <v>14.325728053635032</v>
      </c>
      <c r="W32" s="1152" t="str">
        <f>T32</f>
        <v>jours</v>
      </c>
      <c r="X32" s="1139"/>
      <c r="Y32" s="1151">
        <f>'% Occupation'!K9/'Coût marchandises vendues'!Y31</f>
        <v>13.400744416873449</v>
      </c>
      <c r="Z32" s="1152" t="str">
        <f>W32</f>
        <v>jours</v>
      </c>
      <c r="AA32" s="1139"/>
      <c r="AB32" s="1151">
        <f>'% Occupation'!L9/'Coût marchandises vendues'!AB31</f>
        <v>14.024537005806373</v>
      </c>
      <c r="AC32" s="1152" t="str">
        <f>Z32</f>
        <v>jours</v>
      </c>
      <c r="AD32" s="1139"/>
      <c r="AE32" s="1151">
        <f>'% Occupation'!M9/'Coût marchandises vendues'!AE31</f>
        <v>13.73988552492845</v>
      </c>
      <c r="AF32" s="1152" t="str">
        <f>AC32</f>
        <v>jours</v>
      </c>
      <c r="AG32" s="1139"/>
      <c r="AH32" s="1151">
        <f>'% Occupation'!N9/'Coût marchandises vendues'!AH31</f>
        <v>14.553483776875186</v>
      </c>
      <c r="AI32" s="1152" t="str">
        <f>AF32</f>
        <v>jours</v>
      </c>
      <c r="AJ32" s="1139"/>
      <c r="AK32" s="1151">
        <f>'% Occupation'!O9/'Coût marchandises vendues'!AK31</f>
        <v>12.999109894615398</v>
      </c>
      <c r="AL32" s="1152" t="str">
        <f>AI32</f>
        <v>jours</v>
      </c>
      <c r="AM32" s="127"/>
      <c r="AN32" s="127"/>
      <c r="AO32" s="1153">
        <f>365/AO31</f>
        <v>11.979368139332626</v>
      </c>
      <c r="AP32" s="1154" t="str">
        <f>AL32</f>
        <v>jours</v>
      </c>
      <c r="AQ32"/>
      <c r="AR32"/>
      <c r="AS32" s="329"/>
    </row>
    <row r="33" spans="2:45" x14ac:dyDescent="0.15">
      <c r="B33" s="1155" t="s">
        <v>610</v>
      </c>
      <c r="C33" s="1139"/>
      <c r="D33" s="1156">
        <f>D35/D27</f>
        <v>0.5</v>
      </c>
      <c r="E33" s="1157"/>
      <c r="F33" s="1158"/>
      <c r="G33" s="1156">
        <f>G35/G27</f>
        <v>0.5</v>
      </c>
      <c r="H33" s="1157"/>
      <c r="I33" s="1159"/>
      <c r="J33" s="1156">
        <f>J35/J27</f>
        <v>0.5</v>
      </c>
      <c r="K33" s="1157"/>
      <c r="L33" s="1158"/>
      <c r="M33" s="1156">
        <f>M35/M27</f>
        <v>0.5</v>
      </c>
      <c r="N33" s="1157"/>
      <c r="O33" s="1158"/>
      <c r="P33" s="1156">
        <f>P35/P27</f>
        <v>0.49999999999999989</v>
      </c>
      <c r="Q33" s="1157"/>
      <c r="R33" s="1158"/>
      <c r="S33" s="1156">
        <f>S35/S27</f>
        <v>0.5</v>
      </c>
      <c r="T33" s="1157"/>
      <c r="U33" s="1158"/>
      <c r="V33" s="1156">
        <f>V35/V27</f>
        <v>0.5</v>
      </c>
      <c r="W33" s="1157"/>
      <c r="X33" s="1158"/>
      <c r="Y33" s="1156">
        <f>Y35/Y27</f>
        <v>0.5</v>
      </c>
      <c r="Z33" s="1157"/>
      <c r="AA33" s="1158"/>
      <c r="AB33" s="1156">
        <f>AB35/AB27</f>
        <v>0.50000000000000011</v>
      </c>
      <c r="AC33" s="1157"/>
      <c r="AD33" s="1158"/>
      <c r="AE33" s="1156">
        <f>AE35/AE27</f>
        <v>0.5</v>
      </c>
      <c r="AF33" s="1157"/>
      <c r="AG33" s="1158"/>
      <c r="AH33" s="1156">
        <f>AH35/AH27</f>
        <v>0.5</v>
      </c>
      <c r="AI33" s="1157"/>
      <c r="AJ33" s="1158"/>
      <c r="AK33" s="1156">
        <f>AK35/AK27</f>
        <v>0.49999999999999994</v>
      </c>
      <c r="AL33" s="1157"/>
      <c r="AM33" s="1160"/>
      <c r="AN33" s="1160"/>
      <c r="AO33" s="1161">
        <f>+AO35/AO27</f>
        <v>4.1709458531198985E-2</v>
      </c>
      <c r="AP33" s="1162"/>
      <c r="AQ33"/>
      <c r="AR33"/>
      <c r="AS33" s="329"/>
    </row>
    <row r="34" spans="2:45" x14ac:dyDescent="0.15">
      <c r="B34" s="1164" t="s">
        <v>611</v>
      </c>
      <c r="C34" s="1139"/>
      <c r="D34" s="1165">
        <f>+D51+D68</f>
        <v>0</v>
      </c>
      <c r="E34" s="1166"/>
      <c r="F34" s="1139"/>
      <c r="G34" s="1165">
        <f>D35</f>
        <v>10908.959881658182</v>
      </c>
      <c r="H34" s="1166"/>
      <c r="I34" s="1144"/>
      <c r="J34" s="1165">
        <f>G35</f>
        <v>11854.368710505432</v>
      </c>
      <c r="K34" s="1166"/>
      <c r="L34" s="1139"/>
      <c r="M34" s="1165">
        <f>J35</f>
        <v>11637.681946493649</v>
      </c>
      <c r="N34" s="1166"/>
      <c r="O34" s="1139"/>
      <c r="P34" s="1165">
        <f>M35</f>
        <v>13177.890851015367</v>
      </c>
      <c r="Q34" s="1166"/>
      <c r="R34" s="1139"/>
      <c r="S34" s="1165">
        <f>P35</f>
        <v>13467.378433420869</v>
      </c>
      <c r="T34" s="1166"/>
      <c r="U34" s="1139"/>
      <c r="V34" s="1165">
        <f>S35</f>
        <v>14564.369893050012</v>
      </c>
      <c r="W34" s="1166"/>
      <c r="X34" s="1139"/>
      <c r="Y34" s="1165">
        <f>V35</f>
        <v>14768.450362878302</v>
      </c>
      <c r="Z34" s="1166"/>
      <c r="AA34" s="1139"/>
      <c r="AB34" s="1165">
        <f>Y35</f>
        <v>14516.872914970787</v>
      </c>
      <c r="AC34" s="1166"/>
      <c r="AD34" s="1139"/>
      <c r="AE34" s="1165">
        <f>AB35</f>
        <v>14246.261843063592</v>
      </c>
      <c r="AF34" s="1166"/>
      <c r="AG34" s="1139"/>
      <c r="AH34" s="1165">
        <f>AE35</f>
        <v>13631.172921914429</v>
      </c>
      <c r="AI34" s="1166"/>
      <c r="AJ34" s="1139"/>
      <c r="AK34" s="1165">
        <f>AH35</f>
        <v>14184.358989336293</v>
      </c>
      <c r="AL34" s="1166"/>
      <c r="AM34" s="127"/>
      <c r="AN34" s="127"/>
      <c r="AO34" s="1165">
        <f>+D34</f>
        <v>0</v>
      </c>
      <c r="AP34" s="1166"/>
      <c r="AQ34"/>
      <c r="AR34"/>
      <c r="AS34" s="329"/>
    </row>
    <row r="35" spans="2:45" x14ac:dyDescent="0.15">
      <c r="B35" s="1167" t="s">
        <v>612</v>
      </c>
      <c r="C35" s="1139"/>
      <c r="D35" s="1165">
        <f>+D52+D69</f>
        <v>10908.959881658182</v>
      </c>
      <c r="E35" s="1168"/>
      <c r="F35" s="1139"/>
      <c r="G35" s="1165">
        <f>+G52+G69</f>
        <v>11854.368710505432</v>
      </c>
      <c r="H35" s="1168"/>
      <c r="I35" s="1144"/>
      <c r="J35" s="1165">
        <f>+J52+J69</f>
        <v>11637.681946493649</v>
      </c>
      <c r="K35" s="1168"/>
      <c r="L35" s="1139"/>
      <c r="M35" s="1165">
        <f>+M52+M69</f>
        <v>13177.890851015367</v>
      </c>
      <c r="N35" s="1168"/>
      <c r="O35" s="1139"/>
      <c r="P35" s="1165">
        <f>+P52+P69</f>
        <v>13467.378433420869</v>
      </c>
      <c r="Q35" s="1168"/>
      <c r="R35" s="1139"/>
      <c r="S35" s="1165">
        <f>+S52+S69</f>
        <v>14564.369893050012</v>
      </c>
      <c r="T35" s="1168"/>
      <c r="U35" s="1139"/>
      <c r="V35" s="1165">
        <f>+V52+V69</f>
        <v>14768.450362878302</v>
      </c>
      <c r="W35" s="1168"/>
      <c r="X35" s="1139"/>
      <c r="Y35" s="1165">
        <f>+Y52+Y69</f>
        <v>14516.872914970787</v>
      </c>
      <c r="Z35" s="1168"/>
      <c r="AA35" s="1139"/>
      <c r="AB35" s="1165">
        <f>+AB52+AB69</f>
        <v>14246.261843063592</v>
      </c>
      <c r="AC35" s="1168"/>
      <c r="AD35" s="1139"/>
      <c r="AE35" s="1165">
        <f>+AE52+AE69</f>
        <v>13631.172921914429</v>
      </c>
      <c r="AF35" s="1168"/>
      <c r="AG35" s="1139"/>
      <c r="AH35" s="1165">
        <f>+AH52+AH69</f>
        <v>14184.358989336293</v>
      </c>
      <c r="AI35" s="1168"/>
      <c r="AJ35" s="1139"/>
      <c r="AK35" s="1165">
        <f>+AK52+AK69</f>
        <v>13374.766274645879</v>
      </c>
      <c r="AL35" s="1168"/>
      <c r="AM35" s="127"/>
      <c r="AN35" s="127"/>
      <c r="AO35" s="1165">
        <f>+AO52+AO69</f>
        <v>13374.766274645879</v>
      </c>
      <c r="AP35" s="1168"/>
      <c r="AQ35"/>
      <c r="AR35"/>
      <c r="AS35" s="329"/>
    </row>
    <row r="36" spans="2:45" x14ac:dyDescent="0.15">
      <c r="B36" s="1167" t="s">
        <v>613</v>
      </c>
      <c r="C36" s="1139"/>
      <c r="D36" s="1165">
        <f>+(D34+D35)/2</f>
        <v>5454.479940829091</v>
      </c>
      <c r="E36" s="1168"/>
      <c r="F36" s="1139"/>
      <c r="G36" s="1165">
        <f>(G34+G35)/2</f>
        <v>11381.664296081806</v>
      </c>
      <c r="H36" s="1168"/>
      <c r="I36" s="1144"/>
      <c r="J36" s="1165">
        <f>(J34+J35)/2</f>
        <v>11746.025328499542</v>
      </c>
      <c r="K36" s="1168"/>
      <c r="L36" s="1139"/>
      <c r="M36" s="1165">
        <f>(M34+M35)/2</f>
        <v>12407.786398754508</v>
      </c>
      <c r="N36" s="1168"/>
      <c r="O36" s="1139"/>
      <c r="P36" s="1165">
        <f>(P34+P35)/2</f>
        <v>13322.634642218118</v>
      </c>
      <c r="Q36" s="1168"/>
      <c r="R36" s="1139"/>
      <c r="S36" s="1165">
        <f>(S34+S35)/2</f>
        <v>14015.874163235439</v>
      </c>
      <c r="T36" s="1168"/>
      <c r="U36" s="1139"/>
      <c r="V36" s="1165">
        <f>(V34+V35)/2</f>
        <v>14666.410127964158</v>
      </c>
      <c r="W36" s="1168"/>
      <c r="X36" s="1139"/>
      <c r="Y36" s="1165">
        <f>(Y34+Y35)/2</f>
        <v>14642.661638924545</v>
      </c>
      <c r="Z36" s="1168"/>
      <c r="AA36" s="1139"/>
      <c r="AB36" s="1165">
        <f>(AB34+AB35)/2</f>
        <v>14381.56737901719</v>
      </c>
      <c r="AC36" s="1168"/>
      <c r="AD36" s="1139"/>
      <c r="AE36" s="1165">
        <f>(AE34+AE35)/2</f>
        <v>13938.717382489011</v>
      </c>
      <c r="AF36" s="1168"/>
      <c r="AG36" s="1139"/>
      <c r="AH36" s="1165">
        <f>(AH34+AH35)/2</f>
        <v>13907.76595562536</v>
      </c>
      <c r="AI36" s="1168"/>
      <c r="AJ36" s="1139"/>
      <c r="AK36" s="1165">
        <f>(AK34+AK35)/2</f>
        <v>13779.562631991086</v>
      </c>
      <c r="AL36" s="1168"/>
      <c r="AM36" s="127"/>
      <c r="AN36" s="127"/>
      <c r="AO36" s="1165">
        <f>(AO34+AO35)/2</f>
        <v>6687.3831373229395</v>
      </c>
      <c r="AP36" s="1168"/>
      <c r="AQ36"/>
      <c r="AR36"/>
      <c r="AS36" s="329"/>
    </row>
    <row r="37" spans="2:45" x14ac:dyDescent="0.15">
      <c r="B37" s="1167" t="str">
        <f>'Ind. de performance'!E26</f>
        <v>Taux de rotation des comptes fournisseurs</v>
      </c>
      <c r="C37" s="1139"/>
      <c r="D37" s="1169">
        <f>D18/(D36)</f>
        <v>4.0562838244137103</v>
      </c>
      <c r="E37" s="1170" t="str">
        <f>E54</f>
        <v>X</v>
      </c>
      <c r="F37" s="1171"/>
      <c r="G37" s="1169">
        <f>G18/(G36)</f>
        <v>1.884182727240916</v>
      </c>
      <c r="H37" s="1170" t="str">
        <f>E37</f>
        <v>X</v>
      </c>
      <c r="I37" s="1172"/>
      <c r="J37" s="1169">
        <f>J18/(J36)</f>
        <v>2.0344757675975114</v>
      </c>
      <c r="K37" s="1170" t="str">
        <f>H37</f>
        <v>X</v>
      </c>
      <c r="L37" s="1171"/>
      <c r="M37" s="1169">
        <f>M18/(M36)</f>
        <v>2.0213846197840493</v>
      </c>
      <c r="N37" s="1170" t="str">
        <f>K37</f>
        <v>X</v>
      </c>
      <c r="O37" s="1171"/>
      <c r="P37" s="1169">
        <f>P18/(P36)</f>
        <v>2.0269052405745915</v>
      </c>
      <c r="Q37" s="1170" t="str">
        <f>Q54</f>
        <v>X</v>
      </c>
      <c r="R37" s="1171"/>
      <c r="S37" s="1169">
        <f>S18/(S36)</f>
        <v>1.9799794139249465</v>
      </c>
      <c r="T37" s="1170" t="str">
        <f>T54</f>
        <v>X</v>
      </c>
      <c r="U37" s="1171"/>
      <c r="V37" s="1169">
        <f>V18/(V36)</f>
        <v>2.0323950101578059</v>
      </c>
      <c r="W37" s="1170" t="str">
        <f>W54</f>
        <v>X</v>
      </c>
      <c r="X37" s="1171"/>
      <c r="Y37" s="1169">
        <f>Y18/(Y36)</f>
        <v>2.0625608796385468</v>
      </c>
      <c r="Z37" s="1170" t="str">
        <f>Z54</f>
        <v>X</v>
      </c>
      <c r="AA37" s="1171"/>
      <c r="AB37" s="1169">
        <f>AB18/(AB36)</f>
        <v>1.9202290202704049</v>
      </c>
      <c r="AC37" s="1170" t="str">
        <f>AC54</f>
        <v>X</v>
      </c>
      <c r="AD37" s="1171"/>
      <c r="AE37" s="1169">
        <f>AE18/(AE36)</f>
        <v>2.0520927061256766</v>
      </c>
      <c r="AF37" s="1170" t="str">
        <f>AF54</f>
        <v>X</v>
      </c>
      <c r="AG37" s="1171"/>
      <c r="AH37" s="1169">
        <f>AH18/(AH36)</f>
        <v>1.9116804262635334</v>
      </c>
      <c r="AI37" s="1170" t="str">
        <f>AI54</f>
        <v>X</v>
      </c>
      <c r="AJ37" s="1171"/>
      <c r="AK37" s="1169">
        <f>AK18/(AK36)</f>
        <v>2.1442685127047292</v>
      </c>
      <c r="AL37" s="1170" t="str">
        <f>AL54</f>
        <v>X</v>
      </c>
      <c r="AM37" s="1173"/>
      <c r="AN37" s="1173"/>
      <c r="AO37" s="1169">
        <f>AO18/(AO36)</f>
        <v>47.801340165868503</v>
      </c>
      <c r="AP37" s="1170" t="str">
        <f>AP54</f>
        <v>X</v>
      </c>
      <c r="AQ37"/>
      <c r="AR37"/>
      <c r="AS37" s="329"/>
    </row>
    <row r="38" spans="2:45" ht="14" thickBot="1" x14ac:dyDescent="0.2">
      <c r="B38" s="1174" t="str">
        <f>'[1]Ind. de performance'!E27</f>
        <v>Période de paiement des comptes fournisseurs</v>
      </c>
      <c r="C38" s="1139"/>
      <c r="D38" s="1175">
        <f>'% Occupation'!D9/'Coût marchandises vendues'!D37</f>
        <v>7.6424632352941178</v>
      </c>
      <c r="E38" s="1176" t="s">
        <v>614</v>
      </c>
      <c r="F38" s="1177"/>
      <c r="G38" s="1175">
        <f>'% Occupation'!E9/'Coût marchandises vendues'!G37</f>
        <v>14.860554443677296</v>
      </c>
      <c r="H38" s="1176" t="str">
        <f>E38</f>
        <v xml:space="preserve">jours </v>
      </c>
      <c r="I38" s="1177"/>
      <c r="J38" s="1175">
        <f>'% Occupation'!F9/'Coût marchandises vendues'!J37</f>
        <v>15.237340495142657</v>
      </c>
      <c r="K38" s="1176" t="str">
        <f>H38</f>
        <v xml:space="preserve">jours </v>
      </c>
      <c r="L38" s="1177"/>
      <c r="M38" s="1175">
        <f>'% Occupation'!G9/'Coût marchandises vendues'!M37</f>
        <v>14.841312091909057</v>
      </c>
      <c r="N38" s="1176" t="str">
        <f>K38</f>
        <v xml:space="preserve">jours </v>
      </c>
      <c r="O38" s="1178"/>
      <c r="P38" s="1175">
        <f>'% Occupation'!H9/'Coût marchandises vendues'!P37</f>
        <v>15.294252232142856</v>
      </c>
      <c r="Q38" s="1176" t="str">
        <f>N38</f>
        <v xml:space="preserve">jours </v>
      </c>
      <c r="R38" s="1178"/>
      <c r="S38" s="1175">
        <f>'% Occupation'!I9/'Coût marchandises vendues'!S37</f>
        <v>15.151672683571238</v>
      </c>
      <c r="T38" s="1176" t="str">
        <f>Q38</f>
        <v xml:space="preserve">jours </v>
      </c>
      <c r="U38" s="1178"/>
      <c r="V38" s="1175">
        <f>'% Occupation'!J9/'Coût marchandises vendues'!V37</f>
        <v>15.252940420077589</v>
      </c>
      <c r="W38" s="1176" t="str">
        <f>T38</f>
        <v xml:space="preserve">jours </v>
      </c>
      <c r="X38" s="1178"/>
      <c r="Y38" s="1175">
        <f>'% Occupation'!K9/'Coût marchandises vendues'!Y37</f>
        <v>15.029859387923905</v>
      </c>
      <c r="Z38" s="1176" t="str">
        <f>W38</f>
        <v xml:space="preserve">jours </v>
      </c>
      <c r="AA38" s="1178"/>
      <c r="AB38" s="1175">
        <f>'% Occupation'!L9/'Coût marchandises vendues'!AB37</f>
        <v>15.623136450554959</v>
      </c>
      <c r="AC38" s="1176" t="str">
        <f>Z38</f>
        <v xml:space="preserve">jours </v>
      </c>
      <c r="AD38" s="1178"/>
      <c r="AE38" s="1175">
        <f>'% Occupation'!M9/'Coût marchandises vendues'!AE37</f>
        <v>15.106529986419368</v>
      </c>
      <c r="AF38" s="1176" t="str">
        <f>AC38</f>
        <v xml:space="preserve">jours </v>
      </c>
      <c r="AG38" s="1178"/>
      <c r="AH38" s="1175">
        <f>'% Occupation'!N9/'Coût marchandises vendues'!AH37</f>
        <v>15.692999513855131</v>
      </c>
      <c r="AI38" s="1176" t="str">
        <f>AF38</f>
        <v xml:space="preserve">jours </v>
      </c>
      <c r="AJ38" s="1178"/>
      <c r="AK38" s="1175">
        <f>'% Occupation'!O9/'Coût marchandises vendues'!AK37</f>
        <v>14.457144623598161</v>
      </c>
      <c r="AL38" s="1176" t="str">
        <f>AI38</f>
        <v xml:space="preserve">jours </v>
      </c>
      <c r="AM38" s="1179"/>
      <c r="AN38" s="1179"/>
      <c r="AO38" s="1175">
        <f>'% Occupation'!P9/'Coût marchandises vendues'!AO37</f>
        <v>7.6357691799741678</v>
      </c>
      <c r="AP38" s="1176" t="str">
        <f>AL38</f>
        <v xml:space="preserve">jours </v>
      </c>
      <c r="AQ38"/>
      <c r="AR38"/>
      <c r="AS38" s="329"/>
    </row>
    <row r="39" spans="2:45" ht="15" thickTop="1" thickBot="1" x14ac:dyDescent="0.2">
      <c r="B39" s="127"/>
      <c r="C39" s="1139"/>
      <c r="D39" s="1180"/>
      <c r="E39" s="1163"/>
      <c r="F39" s="1139"/>
      <c r="G39" s="1180"/>
      <c r="H39" s="1163"/>
      <c r="I39" s="1139"/>
      <c r="J39" s="1180"/>
      <c r="K39" s="1163"/>
      <c r="L39" s="1139"/>
      <c r="M39" s="1180"/>
      <c r="N39" s="1163"/>
      <c r="O39" s="1139"/>
      <c r="P39" s="1180"/>
      <c r="Q39" s="1163"/>
      <c r="R39" s="1139"/>
      <c r="S39" s="1180"/>
      <c r="T39" s="1163"/>
      <c r="U39" s="1139"/>
      <c r="V39" s="1180"/>
      <c r="W39" s="1163"/>
      <c r="X39" s="1139"/>
      <c r="Y39" s="1180"/>
      <c r="Z39" s="1163"/>
      <c r="AA39" s="1139"/>
      <c r="AB39" s="1180"/>
      <c r="AC39" s="1163"/>
      <c r="AD39" s="1139"/>
      <c r="AE39" s="1180"/>
      <c r="AF39" s="1163"/>
      <c r="AG39" s="1139"/>
      <c r="AH39" s="1180"/>
      <c r="AI39" s="1163"/>
      <c r="AJ39" s="1139"/>
      <c r="AK39" s="1180"/>
      <c r="AL39" s="1163"/>
      <c r="AM39" s="127"/>
      <c r="AN39" s="127"/>
      <c r="AO39" s="1180"/>
      <c r="AP39" s="1163"/>
      <c r="AQ39"/>
      <c r="AR39"/>
      <c r="AS39" s="329"/>
    </row>
    <row r="40" spans="2:45" ht="14" thickTop="1" x14ac:dyDescent="0.15">
      <c r="B40" s="1181" t="s">
        <v>615</v>
      </c>
      <c r="C40" s="1139"/>
      <c r="D40" s="1182"/>
      <c r="E40" s="1183"/>
      <c r="F40" s="1139"/>
      <c r="G40" s="1182"/>
      <c r="H40" s="1183"/>
      <c r="I40" s="1139"/>
      <c r="J40" s="1182"/>
      <c r="K40" s="1183"/>
      <c r="L40" s="1139"/>
      <c r="M40" s="1182"/>
      <c r="N40" s="1183"/>
      <c r="O40" s="1139"/>
      <c r="P40" s="1182"/>
      <c r="Q40" s="1183"/>
      <c r="R40" s="1139"/>
      <c r="S40" s="1182"/>
      <c r="T40" s="1183"/>
      <c r="U40" s="1139"/>
      <c r="V40" s="1182"/>
      <c r="W40" s="1183"/>
      <c r="X40" s="1139"/>
      <c r="Y40" s="1182"/>
      <c r="Z40" s="1183"/>
      <c r="AA40" s="1139"/>
      <c r="AB40" s="1182"/>
      <c r="AC40" s="1183"/>
      <c r="AD40" s="1139"/>
      <c r="AE40" s="1182"/>
      <c r="AF40" s="1183"/>
      <c r="AG40" s="1139"/>
      <c r="AH40" s="1182"/>
      <c r="AI40" s="1183"/>
      <c r="AJ40" s="1139"/>
      <c r="AK40" s="1182"/>
      <c r="AL40" s="1183"/>
      <c r="AM40" s="127"/>
      <c r="AN40" s="127"/>
      <c r="AO40" s="1182"/>
      <c r="AP40" s="1183"/>
      <c r="AQ40"/>
      <c r="AR40"/>
      <c r="AS40" s="329"/>
    </row>
    <row r="41" spans="2:45" x14ac:dyDescent="0.15">
      <c r="B41" s="1138" t="str">
        <f>B26</f>
        <v>Stock en début de période</v>
      </c>
      <c r="C41" s="1139"/>
      <c r="D41" s="1212">
        <f>+D47*D45</f>
        <v>5003.2854112075374</v>
      </c>
      <c r="E41" s="1141"/>
      <c r="F41" s="1139"/>
      <c r="G41" s="1140">
        <f>D44</f>
        <v>4849.5605180585662</v>
      </c>
      <c r="H41" s="1141"/>
      <c r="I41" s="1139"/>
      <c r="J41" s="1140">
        <f>G44</f>
        <v>5983.0235198941573</v>
      </c>
      <c r="K41" s="1141"/>
      <c r="L41" s="1139"/>
      <c r="M41" s="1140">
        <f>J44</f>
        <v>5671.7471123947371</v>
      </c>
      <c r="N41" s="1141"/>
      <c r="O41" s="1139"/>
      <c r="P41" s="1140">
        <f>M44</f>
        <v>6310.1196745123852</v>
      </c>
      <c r="Q41" s="1141"/>
      <c r="R41" s="1139"/>
      <c r="S41" s="1140">
        <f>P44</f>
        <v>6275.5884896576235</v>
      </c>
      <c r="T41" s="1141"/>
      <c r="U41" s="1139"/>
      <c r="V41" s="1140">
        <f>S44</f>
        <v>6965.3986539769603</v>
      </c>
      <c r="W41" s="1141"/>
      <c r="X41" s="1139"/>
      <c r="Y41" s="1140">
        <f>V44</f>
        <v>6829.6806412344777</v>
      </c>
      <c r="Z41" s="1141"/>
      <c r="AA41" s="1139"/>
      <c r="AB41" s="1140">
        <f>Y44</f>
        <v>6245.0057476300381</v>
      </c>
      <c r="AC41" s="1141"/>
      <c r="AD41" s="1139"/>
      <c r="AE41" s="1140">
        <f>AB44</f>
        <v>6683.9596832387224</v>
      </c>
      <c r="AF41" s="1141"/>
      <c r="AG41" s="1139"/>
      <c r="AH41" s="1140">
        <f>AE44</f>
        <v>6012.3777685037312</v>
      </c>
      <c r="AI41" s="1141"/>
      <c r="AJ41" s="1139"/>
      <c r="AK41" s="1140">
        <f>AH44</f>
        <v>6904.4427636166829</v>
      </c>
      <c r="AL41" s="1141"/>
      <c r="AM41" s="127"/>
      <c r="AN41" s="127"/>
      <c r="AO41" s="1140">
        <f>+M41</f>
        <v>5671.7471123947371</v>
      </c>
      <c r="AP41" s="1141"/>
      <c r="AQ41"/>
      <c r="AR41"/>
      <c r="AS41" s="329"/>
    </row>
    <row r="42" spans="2:45" x14ac:dyDescent="0.15">
      <c r="B42" s="1138" t="str">
        <f>B27</f>
        <v>Achat de la période</v>
      </c>
      <c r="C42" s="1139"/>
      <c r="D42" s="1140">
        <f>D43-D41</f>
        <v>10924.978517382006</v>
      </c>
      <c r="E42" s="1141"/>
      <c r="F42" s="1139"/>
      <c r="G42" s="1140">
        <f>G43-G41</f>
        <v>11871.7755775367</v>
      </c>
      <c r="H42" s="1141"/>
      <c r="I42" s="1139"/>
      <c r="J42" s="1140">
        <f>J43-J41</f>
        <v>11654.770632288893</v>
      </c>
      <c r="K42" s="1141"/>
      <c r="L42" s="1139"/>
      <c r="M42" s="1140">
        <f>M43-M41</f>
        <v>13197.241168134566</v>
      </c>
      <c r="N42" s="1141"/>
      <c r="O42" s="1139"/>
      <c r="P42" s="1140">
        <f>P43-P41</f>
        <v>13487.153831957494</v>
      </c>
      <c r="Q42" s="1141"/>
      <c r="R42" s="1139"/>
      <c r="S42" s="1140">
        <f>S43-S41</f>
        <v>14585.756105704073</v>
      </c>
      <c r="T42" s="1141"/>
      <c r="U42" s="1139"/>
      <c r="V42" s="1140">
        <f>V43-V41</f>
        <v>14790.136245779573</v>
      </c>
      <c r="W42" s="1141"/>
      <c r="X42" s="1139"/>
      <c r="Y42" s="1140">
        <f>Y43-Y41</f>
        <v>14538.189383414763</v>
      </c>
      <c r="Z42" s="1141"/>
      <c r="AA42" s="1139"/>
      <c r="AB42" s="1140">
        <f>AB43-AB41</f>
        <v>14267.180948218054</v>
      </c>
      <c r="AC42" s="1141"/>
      <c r="AD42" s="1139"/>
      <c r="AE42" s="1140">
        <f>AE43-AE41</f>
        <v>13651.188835062272</v>
      </c>
      <c r="AF42" s="1141"/>
      <c r="AG42" s="1139"/>
      <c r="AH42" s="1140">
        <f>AH43-AH41</f>
        <v>14205.187196799787</v>
      </c>
      <c r="AI42" s="1141"/>
      <c r="AJ42" s="1139"/>
      <c r="AK42" s="1140">
        <f>AK43-AK41</f>
        <v>13394.405682175926</v>
      </c>
      <c r="AL42" s="1141"/>
      <c r="AM42" s="127"/>
      <c r="AN42" s="127"/>
      <c r="AO42" s="1140">
        <f>AO43-AO41</f>
        <v>159899.50242326691</v>
      </c>
      <c r="AP42" s="1141"/>
      <c r="AQ42"/>
      <c r="AR42"/>
      <c r="AS42" s="329"/>
    </row>
    <row r="43" spans="2:45" x14ac:dyDescent="0.15">
      <c r="B43" s="1138" t="str">
        <f>B28</f>
        <v>Stock disponible pour la vente durant la période</v>
      </c>
      <c r="C43" s="1139"/>
      <c r="D43" s="1140">
        <f>D45+D44</f>
        <v>15928.263928589542</v>
      </c>
      <c r="E43" s="1142" t="s">
        <v>2</v>
      </c>
      <c r="F43" s="1139"/>
      <c r="G43" s="1140">
        <f>G45+G44</f>
        <v>16721.336095595267</v>
      </c>
      <c r="H43" s="1141"/>
      <c r="I43" s="1139"/>
      <c r="J43" s="1140">
        <f>J45+J44</f>
        <v>17637.794152183051</v>
      </c>
      <c r="K43" s="1141"/>
      <c r="L43" s="1139"/>
      <c r="M43" s="1140">
        <f>M45+M44</f>
        <v>18868.988280529302</v>
      </c>
      <c r="N43" s="1141"/>
      <c r="O43" s="1139"/>
      <c r="P43" s="1140">
        <f>P45+P44</f>
        <v>19797.273506469879</v>
      </c>
      <c r="Q43" s="1141"/>
      <c r="R43" s="1139"/>
      <c r="S43" s="1140">
        <f>S45+S44</f>
        <v>20861.344595361697</v>
      </c>
      <c r="T43" s="1141"/>
      <c r="U43" s="1139"/>
      <c r="V43" s="1140">
        <f>V45+V44</f>
        <v>21755.534899756534</v>
      </c>
      <c r="W43" s="1141"/>
      <c r="X43" s="1139"/>
      <c r="Y43" s="1140">
        <f>Y45+Y44</f>
        <v>21367.870024649241</v>
      </c>
      <c r="Z43" s="1141"/>
      <c r="AA43" s="1139"/>
      <c r="AB43" s="1140">
        <f>AB45+AB44</f>
        <v>20512.186695848093</v>
      </c>
      <c r="AC43" s="1141"/>
      <c r="AD43" s="1139"/>
      <c r="AE43" s="1140">
        <f>AE44+AE45</f>
        <v>20335.148518300994</v>
      </c>
      <c r="AF43" s="1141"/>
      <c r="AG43" s="1139"/>
      <c r="AH43" s="1140">
        <f>AH44+AH45</f>
        <v>20217.564965303518</v>
      </c>
      <c r="AI43" s="1141"/>
      <c r="AJ43" s="1139"/>
      <c r="AK43" s="1140">
        <f>AK44+AK45</f>
        <v>20298.84844579261</v>
      </c>
      <c r="AL43" s="1141"/>
      <c r="AM43" s="127"/>
      <c r="AN43" s="127"/>
      <c r="AO43" s="1140">
        <f>AO44+AO45</f>
        <v>165571.24953566166</v>
      </c>
      <c r="AP43" s="1141"/>
      <c r="AQ43"/>
      <c r="AR43"/>
      <c r="AS43" s="329"/>
    </row>
    <row r="44" spans="2:45" x14ac:dyDescent="0.15">
      <c r="B44" s="1138" t="str">
        <f>B29</f>
        <v>Stock en fin de période</v>
      </c>
      <c r="C44" s="1139"/>
      <c r="D44" s="1143">
        <f>+D47*G45</f>
        <v>4849.5605180585662</v>
      </c>
      <c r="E44" s="1141"/>
      <c r="F44" s="1139"/>
      <c r="G44" s="1143">
        <f>+G47*J45</f>
        <v>5983.0235198941573</v>
      </c>
      <c r="H44" s="1141"/>
      <c r="I44" s="1144"/>
      <c r="J44" s="1140">
        <f>J47*M45</f>
        <v>5671.7471123947371</v>
      </c>
      <c r="K44" s="1141"/>
      <c r="L44" s="1139"/>
      <c r="M44" s="1140">
        <f>P45*M47</f>
        <v>6310.1196745123852</v>
      </c>
      <c r="N44" s="1141"/>
      <c r="O44" s="1139"/>
      <c r="P44" s="1140">
        <f>S45*P47</f>
        <v>6275.5884896576235</v>
      </c>
      <c r="Q44" s="1141"/>
      <c r="R44" s="1139"/>
      <c r="S44" s="1140">
        <f>V45*S47</f>
        <v>6965.3986539769603</v>
      </c>
      <c r="T44" s="1141"/>
      <c r="U44" s="1139"/>
      <c r="V44" s="1140">
        <f>Y45*V47</f>
        <v>6829.6806412344777</v>
      </c>
      <c r="W44" s="1141"/>
      <c r="X44" s="1139"/>
      <c r="Y44" s="1140">
        <f>AB45*Y47</f>
        <v>6245.0057476300381</v>
      </c>
      <c r="Z44" s="1141"/>
      <c r="AA44" s="1139"/>
      <c r="AB44" s="1140">
        <f>AE45*AB47</f>
        <v>6683.9596832387224</v>
      </c>
      <c r="AC44" s="1141"/>
      <c r="AD44" s="1139"/>
      <c r="AE44" s="1140">
        <f>AH45*AE47</f>
        <v>6012.3777685037312</v>
      </c>
      <c r="AF44" s="1141"/>
      <c r="AG44" s="1139"/>
      <c r="AH44" s="1140">
        <f>AK45*AH47</f>
        <v>6904.4427636166829</v>
      </c>
      <c r="AI44" s="1141"/>
      <c r="AJ44" s="1139"/>
      <c r="AK44" s="1140">
        <f>+((D45*1.1)*AK47)</f>
        <v>5503.6139523282909</v>
      </c>
      <c r="AL44" s="1141"/>
      <c r="AM44" s="127"/>
      <c r="AN44" s="127"/>
      <c r="AO44" s="1140">
        <f>+AK44</f>
        <v>5503.6139523282909</v>
      </c>
      <c r="AP44" s="1141"/>
      <c r="AQ44"/>
      <c r="AR44"/>
      <c r="AS44" s="329"/>
    </row>
    <row r="45" spans="2:45" x14ac:dyDescent="0.15">
      <c r="B45" s="1146" t="str">
        <f>B30</f>
        <v>Coûts des marchandises vendues durant la période</v>
      </c>
      <c r="C45" s="1139"/>
      <c r="D45" s="1147">
        <f>D19</f>
        <v>11078.703410530976</v>
      </c>
      <c r="E45" s="1142" t="s">
        <v>2</v>
      </c>
      <c r="F45" s="1139"/>
      <c r="G45" s="1145">
        <f>G19</f>
        <v>10738.312575701111</v>
      </c>
      <c r="H45" s="1141"/>
      <c r="I45" s="1144"/>
      <c r="J45" s="1145">
        <f>J19</f>
        <v>11966.047039788315</v>
      </c>
      <c r="K45" s="1141"/>
      <c r="L45" s="1139"/>
      <c r="M45" s="1145">
        <f>M19</f>
        <v>12558.868606016918</v>
      </c>
      <c r="N45" s="1141"/>
      <c r="O45" s="1139"/>
      <c r="P45" s="1145">
        <f>P19</f>
        <v>13521.685016812255</v>
      </c>
      <c r="Q45" s="1141"/>
      <c r="R45" s="1139"/>
      <c r="S45" s="1145">
        <f>S19</f>
        <v>13895.945941384738</v>
      </c>
      <c r="T45" s="1141"/>
      <c r="U45" s="1139"/>
      <c r="V45" s="1145">
        <f>V19</f>
        <v>14925.854258522057</v>
      </c>
      <c r="W45" s="1141"/>
      <c r="X45" s="1139"/>
      <c r="Y45" s="1145">
        <f>Y19</f>
        <v>15122.864277019202</v>
      </c>
      <c r="Z45" s="1141"/>
      <c r="AA45" s="1139"/>
      <c r="AB45" s="1145">
        <f>AB19</f>
        <v>13828.22701260937</v>
      </c>
      <c r="AC45" s="1141"/>
      <c r="AD45" s="1139"/>
      <c r="AE45" s="1145">
        <f>AE19</f>
        <v>14322.770749797262</v>
      </c>
      <c r="AF45" s="1141"/>
      <c r="AG45" s="1139"/>
      <c r="AH45" s="1145">
        <f>AH19</f>
        <v>13313.122201686834</v>
      </c>
      <c r="AI45" s="1141"/>
      <c r="AJ45" s="1139"/>
      <c r="AK45" s="1145">
        <f>AK19</f>
        <v>14795.234493464321</v>
      </c>
      <c r="AL45" s="1141"/>
      <c r="AM45" s="127"/>
      <c r="AN45" s="127"/>
      <c r="AO45" s="1145">
        <f>AO19</f>
        <v>160067.63558333335</v>
      </c>
      <c r="AP45" s="1141"/>
      <c r="AQ45"/>
      <c r="AR45"/>
      <c r="AS45" s="329"/>
    </row>
    <row r="46" spans="2:45" x14ac:dyDescent="0.15">
      <c r="B46" s="1138" t="s">
        <v>616</v>
      </c>
      <c r="C46" s="1139"/>
      <c r="D46" s="1184">
        <v>14</v>
      </c>
      <c r="E46" s="1185" t="s">
        <v>486</v>
      </c>
      <c r="F46" s="1186"/>
      <c r="G46" s="1184">
        <v>14</v>
      </c>
      <c r="H46" s="1185" t="str">
        <f>E46</f>
        <v>jours</v>
      </c>
      <c r="I46" s="1187"/>
      <c r="J46" s="1184">
        <v>14</v>
      </c>
      <c r="K46" s="1185" t="str">
        <f>H46</f>
        <v>jours</v>
      </c>
      <c r="L46" s="1186"/>
      <c r="M46" s="1184">
        <v>14</v>
      </c>
      <c r="N46" s="1185" t="str">
        <f>K46</f>
        <v>jours</v>
      </c>
      <c r="O46" s="1186"/>
      <c r="P46" s="1184">
        <v>14</v>
      </c>
      <c r="Q46" s="1185" t="str">
        <f>N46</f>
        <v>jours</v>
      </c>
      <c r="R46" s="1186"/>
      <c r="S46" s="1184">
        <v>14</v>
      </c>
      <c r="T46" s="1185" t="str">
        <f>Q46</f>
        <v>jours</v>
      </c>
      <c r="U46" s="1186"/>
      <c r="V46" s="1184">
        <v>14</v>
      </c>
      <c r="W46" s="1185" t="str">
        <f>T46</f>
        <v>jours</v>
      </c>
      <c r="X46" s="1186"/>
      <c r="Y46" s="1184">
        <v>14</v>
      </c>
      <c r="Z46" s="1185" t="str">
        <f>W46</f>
        <v>jours</v>
      </c>
      <c r="AA46" s="1186"/>
      <c r="AB46" s="1184">
        <v>14</v>
      </c>
      <c r="AC46" s="1185" t="str">
        <f>Z46</f>
        <v>jours</v>
      </c>
      <c r="AD46" s="1186"/>
      <c r="AE46" s="1184">
        <v>14</v>
      </c>
      <c r="AF46" s="1185" t="str">
        <f>AC46</f>
        <v>jours</v>
      </c>
      <c r="AG46" s="1186"/>
      <c r="AH46" s="1184">
        <v>14</v>
      </c>
      <c r="AI46" s="1185" t="str">
        <f>AF46</f>
        <v>jours</v>
      </c>
      <c r="AJ46" s="1186"/>
      <c r="AK46" s="1184">
        <v>14</v>
      </c>
      <c r="AL46" s="1185" t="str">
        <f>AI46</f>
        <v>jours</v>
      </c>
      <c r="AM46" s="1188"/>
      <c r="AN46" s="1188"/>
      <c r="AO46" s="1184" t="s">
        <v>2</v>
      </c>
      <c r="AP46" s="1185" t="s">
        <v>2</v>
      </c>
      <c r="AQ46"/>
      <c r="AR46"/>
      <c r="AS46" s="329"/>
    </row>
    <row r="47" spans="2:45" x14ac:dyDescent="0.15">
      <c r="B47" s="1138" t="s">
        <v>617</v>
      </c>
      <c r="C47" s="1139"/>
      <c r="D47" s="1189">
        <f>D46/'% Occupation'!D9</f>
        <v>0.45161290322580644</v>
      </c>
      <c r="E47" s="1190" t="s">
        <v>609</v>
      </c>
      <c r="F47" s="1191"/>
      <c r="G47" s="1189">
        <f>G46/'% Occupation'!E9</f>
        <v>0.5</v>
      </c>
      <c r="H47" s="1190" t="str">
        <f>E47</f>
        <v>X</v>
      </c>
      <c r="I47" s="1192"/>
      <c r="J47" s="1189">
        <f>J46/'% Occupation'!F9</f>
        <v>0.45161290322580644</v>
      </c>
      <c r="K47" s="1190" t="str">
        <f>H47</f>
        <v>X</v>
      </c>
      <c r="L47" s="1191"/>
      <c r="M47" s="1189">
        <f>M46/'% Occupation'!G9</f>
        <v>0.46666666666666667</v>
      </c>
      <c r="N47" s="1190" t="str">
        <f>K47</f>
        <v>X</v>
      </c>
      <c r="O47" s="1191"/>
      <c r="P47" s="1189">
        <f>P46/'% Occupation'!H9</f>
        <v>0.45161290322580644</v>
      </c>
      <c r="Q47" s="1190" t="str">
        <f>N47</f>
        <v>X</v>
      </c>
      <c r="R47" s="1191"/>
      <c r="S47" s="1189">
        <f>S46/'% Occupation'!I9</f>
        <v>0.46666666666666667</v>
      </c>
      <c r="T47" s="1190" t="str">
        <f>Q47</f>
        <v>X</v>
      </c>
      <c r="U47" s="1191"/>
      <c r="V47" s="1189">
        <f>V46/'% Occupation'!J9</f>
        <v>0.45161290322580644</v>
      </c>
      <c r="W47" s="1190" t="str">
        <f>T47</f>
        <v>X</v>
      </c>
      <c r="X47" s="1191"/>
      <c r="Y47" s="1189">
        <f>Y46/'% Occupation'!K9</f>
        <v>0.45161290322580644</v>
      </c>
      <c r="Z47" s="1190" t="str">
        <f>W47</f>
        <v>X</v>
      </c>
      <c r="AA47" s="1191"/>
      <c r="AB47" s="1189">
        <f>AB46/'% Occupation'!L9</f>
        <v>0.46666666666666667</v>
      </c>
      <c r="AC47" s="1190" t="str">
        <f>Z47</f>
        <v>X</v>
      </c>
      <c r="AD47" s="1191"/>
      <c r="AE47" s="1189">
        <f>AE46/'% Occupation'!M9</f>
        <v>0.45161290322580644</v>
      </c>
      <c r="AF47" s="1190" t="str">
        <f>AC47</f>
        <v>X</v>
      </c>
      <c r="AG47" s="1191"/>
      <c r="AH47" s="1189">
        <f>AH46/'% Occupation'!N9</f>
        <v>0.46666666666666667</v>
      </c>
      <c r="AI47" s="1190" t="str">
        <f>AF47</f>
        <v>X</v>
      </c>
      <c r="AJ47" s="1191"/>
      <c r="AK47" s="1189">
        <f>AK46/'% Occupation'!O9</f>
        <v>0.45161290322580644</v>
      </c>
      <c r="AL47" s="1190" t="str">
        <f>AI47</f>
        <v>X</v>
      </c>
      <c r="AM47" s="1193"/>
      <c r="AN47" s="1193"/>
      <c r="AO47" s="1189" t="s">
        <v>2</v>
      </c>
      <c r="AP47" s="1190" t="s">
        <v>2</v>
      </c>
      <c r="AQ47"/>
      <c r="AR47"/>
      <c r="AS47" s="329"/>
    </row>
    <row r="48" spans="2:45" x14ac:dyDescent="0.15">
      <c r="B48" s="1138" t="str">
        <f t="shared" ref="B48:B55" si="8">B31</f>
        <v>Taux de rotation des stocks</v>
      </c>
      <c r="C48" s="1139"/>
      <c r="D48" s="1148">
        <f>D45/((D41+D44)/2)</f>
        <v>2.2488331777570347</v>
      </c>
      <c r="E48" s="1149" t="s">
        <v>609</v>
      </c>
      <c r="F48" s="1139"/>
      <c r="G48" s="1148">
        <f>G45/((G41+G44)/2)</f>
        <v>1.982594833897189</v>
      </c>
      <c r="H48" s="1149" t="str">
        <f>E48</f>
        <v>X</v>
      </c>
      <c r="I48" s="1144"/>
      <c r="J48" s="1148">
        <f>J45/((J41+J44)/2)</f>
        <v>2.0534161361592216</v>
      </c>
      <c r="K48" s="1149" t="str">
        <f>H48</f>
        <v>X</v>
      </c>
      <c r="L48" s="1139"/>
      <c r="M48" s="1148">
        <f>M45/((M41+M44)/2)</f>
        <v>2.0963125077872342</v>
      </c>
      <c r="N48" s="1149" t="str">
        <f>K48</f>
        <v>X</v>
      </c>
      <c r="O48" s="1139"/>
      <c r="P48" s="1148">
        <f>P45/((P41+P44)/2)</f>
        <v>2.1487364620938627</v>
      </c>
      <c r="Q48" s="1149" t="str">
        <f>N48</f>
        <v>X</v>
      </c>
      <c r="R48" s="1139"/>
      <c r="S48" s="1148">
        <f>S45/((S41+S44)/2)</f>
        <v>2.0989289983662611</v>
      </c>
      <c r="T48" s="1149" t="str">
        <f>Q48</f>
        <v>X</v>
      </c>
      <c r="U48" s="1139"/>
      <c r="V48" s="1148">
        <f>V45/((V41+V44)/2)</f>
        <v>2.1639388856145443</v>
      </c>
      <c r="W48" s="1149" t="str">
        <f>T48</f>
        <v>X</v>
      </c>
      <c r="X48" s="1139"/>
      <c r="Y48" s="1148">
        <f>Y45/((Y41+Y44)/2)</f>
        <v>2.3133043236737336</v>
      </c>
      <c r="Z48" s="1149" t="str">
        <f>W48</f>
        <v>X</v>
      </c>
      <c r="AA48" s="1139"/>
      <c r="AB48" s="1148">
        <f>AB45/((AB41+AB44)/2)</f>
        <v>2.1391080495263082</v>
      </c>
      <c r="AC48" s="1149" t="str">
        <f>Z48</f>
        <v>X</v>
      </c>
      <c r="AD48" s="1139"/>
      <c r="AE48" s="1148">
        <f>AE45/((AE41+AE44)/2)</f>
        <v>2.2562051149375519</v>
      </c>
      <c r="AF48" s="1149" t="str">
        <f>AC48</f>
        <v>X</v>
      </c>
      <c r="AG48" s="1139"/>
      <c r="AH48" s="1148">
        <f>AH45/((AH41+AH44)/2)</f>
        <v>2.061362108203165</v>
      </c>
      <c r="AI48" s="1149" t="str">
        <f>AF48</f>
        <v>X</v>
      </c>
      <c r="AJ48" s="1139"/>
      <c r="AK48" s="1148">
        <f>AK45/((AK41+AK44)/2)</f>
        <v>2.3847786695642199</v>
      </c>
      <c r="AL48" s="1149" t="str">
        <f>AI48</f>
        <v>X</v>
      </c>
      <c r="AM48" s="127"/>
      <c r="AN48" s="127"/>
      <c r="AO48" s="1148">
        <f>AO45/((AO41+AO44)/2)</f>
        <v>28.646525988071154</v>
      </c>
      <c r="AP48" s="1149" t="str">
        <f>AL48</f>
        <v>X</v>
      </c>
      <c r="AQ48"/>
      <c r="AR48"/>
      <c r="AS48" s="329"/>
    </row>
    <row r="49" spans="2:45" ht="14" thickBot="1" x14ac:dyDescent="0.2">
      <c r="B49" s="1194" t="str">
        <f t="shared" si="8"/>
        <v>Niveau des stocks  (nombre de jours de provision)</v>
      </c>
      <c r="C49" s="1139"/>
      <c r="D49" s="1151">
        <f>'% Occupation'!D9/'Coût marchandises vendues'!D48</f>
        <v>13.784926470588232</v>
      </c>
      <c r="E49" s="1152" t="s">
        <v>486</v>
      </c>
      <c r="F49" s="1139"/>
      <c r="G49" s="1151">
        <f>'% Occupation'!E9/'Coût marchandises vendues'!G48</f>
        <v>14.122905760306239</v>
      </c>
      <c r="H49" s="1152" t="str">
        <f>E49</f>
        <v>jours</v>
      </c>
      <c r="I49" s="1144"/>
      <c r="J49" s="1151">
        <f>'% Occupation'!F9/'Coût marchandises vendues'!J48</f>
        <v>15.096793803317158</v>
      </c>
      <c r="K49" s="1152" t="str">
        <f>H49</f>
        <v>jours</v>
      </c>
      <c r="L49" s="1139"/>
      <c r="M49" s="1151">
        <f>'% Occupation'!G9/'Coût marchandises vendues'!M48</f>
        <v>14.310843392174645</v>
      </c>
      <c r="N49" s="1152" t="str">
        <f>K49</f>
        <v>jours</v>
      </c>
      <c r="O49" s="1139"/>
      <c r="P49" s="1151">
        <f>'% Occupation'!H9/'Coût marchandises vendues'!P48</f>
        <v>14.427083333333334</v>
      </c>
      <c r="Q49" s="1152" t="str">
        <f>N49</f>
        <v>jours</v>
      </c>
      <c r="R49" s="1139"/>
      <c r="S49" s="1151">
        <f>'% Occupation'!I9/'Coût marchandises vendues'!S48</f>
        <v>14.293003728735481</v>
      </c>
      <c r="T49" s="1152" t="str">
        <f>Q49</f>
        <v>jours</v>
      </c>
      <c r="U49" s="1139"/>
      <c r="V49" s="1151">
        <f>'% Occupation'!J9/'Coût marchandises vendues'!V48</f>
        <v>14.325728053635029</v>
      </c>
      <c r="W49" s="1152" t="str">
        <f>T49</f>
        <v>jours</v>
      </c>
      <c r="X49" s="1139"/>
      <c r="Y49" s="1151">
        <f>'% Occupation'!K9/'Coût marchandises vendues'!Y48</f>
        <v>13.400744416873451</v>
      </c>
      <c r="Z49" s="1152" t="str">
        <f>W49</f>
        <v>jours</v>
      </c>
      <c r="AA49" s="1139"/>
      <c r="AB49" s="1151">
        <f>'% Occupation'!L9/'Coût marchandises vendues'!AB48</f>
        <v>14.024537005806373</v>
      </c>
      <c r="AC49" s="1152" t="str">
        <f>Z49</f>
        <v>jours</v>
      </c>
      <c r="AD49" s="1139"/>
      <c r="AE49" s="1151">
        <f>'% Occupation'!M9/'Coût marchandises vendues'!AE48</f>
        <v>13.73988552492845</v>
      </c>
      <c r="AF49" s="1152" t="str">
        <f>AC49</f>
        <v>jours</v>
      </c>
      <c r="AG49" s="1139"/>
      <c r="AH49" s="1151">
        <f>'% Occupation'!N9/'Coût marchandises vendues'!AH48</f>
        <v>14.55348377687519</v>
      </c>
      <c r="AI49" s="1152" t="str">
        <f>AF49</f>
        <v>jours</v>
      </c>
      <c r="AJ49" s="1139"/>
      <c r="AK49" s="1151">
        <f>'% Occupation'!O9/'Coût marchandises vendues'!AK48</f>
        <v>12.999109894615399</v>
      </c>
      <c r="AL49" s="1152" t="str">
        <f>AI49</f>
        <v>jours</v>
      </c>
      <c r="AM49" s="127"/>
      <c r="AN49" s="127"/>
      <c r="AO49" s="1151">
        <f>'% Occupation'!P9/'Coût marchandises vendues'!AO48</f>
        <v>12.741510092776748</v>
      </c>
      <c r="AP49" s="1152" t="str">
        <f>AL49</f>
        <v>jours</v>
      </c>
      <c r="AQ49"/>
      <c r="AR49"/>
      <c r="AS49" s="329"/>
    </row>
    <row r="50" spans="2:45" x14ac:dyDescent="0.15">
      <c r="B50" s="1155" t="str">
        <f t="shared" si="8"/>
        <v>Pourcentage des achats non payé à la fin du mois</v>
      </c>
      <c r="C50" s="1139"/>
      <c r="D50" s="1195">
        <v>0.5</v>
      </c>
      <c r="E50" s="1157"/>
      <c r="F50" s="1158"/>
      <c r="G50" s="1195">
        <f>+D50</f>
        <v>0.5</v>
      </c>
      <c r="H50" s="1157"/>
      <c r="I50" s="1159"/>
      <c r="J50" s="1195">
        <f>+G50</f>
        <v>0.5</v>
      </c>
      <c r="K50" s="1157"/>
      <c r="L50" s="1158"/>
      <c r="M50" s="1195">
        <f>+J50</f>
        <v>0.5</v>
      </c>
      <c r="N50" s="1157"/>
      <c r="O50" s="1158"/>
      <c r="P50" s="1195">
        <f>M50</f>
        <v>0.5</v>
      </c>
      <c r="Q50" s="1157"/>
      <c r="R50" s="1158"/>
      <c r="S50" s="1195">
        <f>+P50</f>
        <v>0.5</v>
      </c>
      <c r="T50" s="1157"/>
      <c r="U50" s="1158"/>
      <c r="V50" s="1195">
        <f>+S50</f>
        <v>0.5</v>
      </c>
      <c r="W50" s="1157"/>
      <c r="X50" s="1158"/>
      <c r="Y50" s="1195">
        <f>+V50</f>
        <v>0.5</v>
      </c>
      <c r="Z50" s="1157"/>
      <c r="AA50" s="1158"/>
      <c r="AB50" s="1195">
        <f>+Y50</f>
        <v>0.5</v>
      </c>
      <c r="AC50" s="1157"/>
      <c r="AD50" s="1158"/>
      <c r="AE50" s="1195">
        <f>+AB50</f>
        <v>0.5</v>
      </c>
      <c r="AF50" s="1157"/>
      <c r="AG50" s="1158"/>
      <c r="AH50" s="1195">
        <f>+AE50</f>
        <v>0.5</v>
      </c>
      <c r="AI50" s="1157"/>
      <c r="AJ50" s="1158"/>
      <c r="AK50" s="1195">
        <f>+AH50</f>
        <v>0.5</v>
      </c>
      <c r="AL50" s="1157"/>
      <c r="AM50" s="1160"/>
      <c r="AN50" s="1160"/>
      <c r="AO50" s="1161">
        <f>+AO52/AO42</f>
        <v>4.1883825400281266E-2</v>
      </c>
      <c r="AP50" s="1162"/>
      <c r="AQ50"/>
      <c r="AR50"/>
      <c r="AS50" s="329"/>
    </row>
    <row r="51" spans="2:45" x14ac:dyDescent="0.15">
      <c r="B51" s="1164" t="str">
        <f t="shared" si="8"/>
        <v>Comptes fournisseurs en début de période</v>
      </c>
      <c r="C51" s="1139"/>
      <c r="D51" s="1196">
        <v>0</v>
      </c>
      <c r="E51" s="1166"/>
      <c r="F51" s="1139"/>
      <c r="G51" s="1165">
        <f>D52</f>
        <v>5462.4892586910028</v>
      </c>
      <c r="H51" s="1166"/>
      <c r="I51" s="1144"/>
      <c r="J51" s="1165">
        <f>G52</f>
        <v>5935.8877887683502</v>
      </c>
      <c r="K51" s="1166"/>
      <c r="L51" s="1139"/>
      <c r="M51" s="1165">
        <f>J52</f>
        <v>5827.3853161444467</v>
      </c>
      <c r="N51" s="1166"/>
      <c r="O51" s="1139"/>
      <c r="P51" s="1165">
        <f>M52</f>
        <v>6598.6205840672828</v>
      </c>
      <c r="Q51" s="1166"/>
      <c r="R51" s="1139"/>
      <c r="S51" s="1165">
        <f>P52</f>
        <v>6743.5769159787469</v>
      </c>
      <c r="T51" s="1166"/>
      <c r="U51" s="1139"/>
      <c r="V51" s="1165">
        <f>S52</f>
        <v>7292.8780528520365</v>
      </c>
      <c r="W51" s="1166"/>
      <c r="X51" s="1139"/>
      <c r="Y51" s="1165">
        <f>V52</f>
        <v>7395.0681228897865</v>
      </c>
      <c r="Z51" s="1166"/>
      <c r="AA51" s="1139"/>
      <c r="AB51" s="1165">
        <f>Y52</f>
        <v>7269.0946917073816</v>
      </c>
      <c r="AC51" s="1166"/>
      <c r="AD51" s="1139"/>
      <c r="AE51" s="1165">
        <f>AB52</f>
        <v>7133.5904741090271</v>
      </c>
      <c r="AF51" s="1166"/>
      <c r="AG51" s="1139"/>
      <c r="AH51" s="1165">
        <f>AE52</f>
        <v>6825.5944175311361</v>
      </c>
      <c r="AI51" s="1166"/>
      <c r="AJ51" s="1139"/>
      <c r="AK51" s="1165">
        <f>AH52</f>
        <v>7102.5935983998934</v>
      </c>
      <c r="AL51" s="1166"/>
      <c r="AM51" s="127"/>
      <c r="AN51" s="127"/>
      <c r="AO51" s="1165">
        <f>+D51</f>
        <v>0</v>
      </c>
      <c r="AP51" s="1166"/>
      <c r="AQ51"/>
      <c r="AR51"/>
      <c r="AS51" s="329"/>
    </row>
    <row r="52" spans="2:45" x14ac:dyDescent="0.15">
      <c r="B52" s="1167" t="str">
        <f t="shared" si="8"/>
        <v>Comptes fournisseurs à la fin de la période</v>
      </c>
      <c r="C52" s="1139"/>
      <c r="D52" s="1165">
        <f>D50*D42</f>
        <v>5462.4892586910028</v>
      </c>
      <c r="E52" s="1168"/>
      <c r="F52" s="1139"/>
      <c r="G52" s="1165">
        <f>G50*G42</f>
        <v>5935.8877887683502</v>
      </c>
      <c r="H52" s="1168"/>
      <c r="I52" s="1144"/>
      <c r="J52" s="1165">
        <f>J50*J42</f>
        <v>5827.3853161444467</v>
      </c>
      <c r="K52" s="1168"/>
      <c r="L52" s="1139"/>
      <c r="M52" s="1165">
        <f>M50*M42</f>
        <v>6598.6205840672828</v>
      </c>
      <c r="N52" s="1168"/>
      <c r="O52" s="1139"/>
      <c r="P52" s="1165">
        <f>P50*P42</f>
        <v>6743.5769159787469</v>
      </c>
      <c r="Q52" s="1168"/>
      <c r="R52" s="1139"/>
      <c r="S52" s="1165">
        <f>S50*S42</f>
        <v>7292.8780528520365</v>
      </c>
      <c r="T52" s="1168"/>
      <c r="U52" s="1139"/>
      <c r="V52" s="1165">
        <f>V50*V42</f>
        <v>7395.0681228897865</v>
      </c>
      <c r="W52" s="1168"/>
      <c r="X52" s="1139"/>
      <c r="Y52" s="1165">
        <f>Y50*Y42</f>
        <v>7269.0946917073816</v>
      </c>
      <c r="Z52" s="1168"/>
      <c r="AA52" s="1139"/>
      <c r="AB52" s="1165">
        <f>AB50*AB42</f>
        <v>7133.5904741090271</v>
      </c>
      <c r="AC52" s="1168"/>
      <c r="AD52" s="1139"/>
      <c r="AE52" s="1165">
        <f>AE50*AE42</f>
        <v>6825.5944175311361</v>
      </c>
      <c r="AF52" s="1168"/>
      <c r="AG52" s="1139"/>
      <c r="AH52" s="1165">
        <f>AH50*AH42</f>
        <v>7102.5935983998934</v>
      </c>
      <c r="AI52" s="1168"/>
      <c r="AJ52" s="1139"/>
      <c r="AK52" s="1165">
        <f>AK50*AK42</f>
        <v>6697.202841087963</v>
      </c>
      <c r="AL52" s="1168"/>
      <c r="AM52" s="127"/>
      <c r="AN52" s="127"/>
      <c r="AO52" s="1165">
        <f>AK52</f>
        <v>6697.202841087963</v>
      </c>
      <c r="AP52" s="1168"/>
      <c r="AQ52"/>
      <c r="AR52"/>
      <c r="AS52" s="329"/>
    </row>
    <row r="53" spans="2:45" x14ac:dyDescent="0.15">
      <c r="B53" s="1167" t="str">
        <f t="shared" si="8"/>
        <v>Comptes fournisseurs moyen</v>
      </c>
      <c r="C53" s="1139"/>
      <c r="D53" s="1165">
        <f>(D51+D52)/2</f>
        <v>2731.2446293455014</v>
      </c>
      <c r="E53" s="1168"/>
      <c r="F53" s="1139"/>
      <c r="G53" s="1165">
        <f>(G51+G52)/2</f>
        <v>5699.1885237296765</v>
      </c>
      <c r="H53" s="1168"/>
      <c r="I53" s="1144"/>
      <c r="J53" s="1165">
        <f>(J51+J52)/2</f>
        <v>5881.6365524563989</v>
      </c>
      <c r="K53" s="1168"/>
      <c r="L53" s="1139"/>
      <c r="M53" s="1165">
        <f>(M51+M52)/2</f>
        <v>6213.0029501058652</v>
      </c>
      <c r="N53" s="1168"/>
      <c r="O53" s="1139"/>
      <c r="P53" s="1165">
        <f>(P51+P52)/2</f>
        <v>6671.0987500230149</v>
      </c>
      <c r="Q53" s="1168"/>
      <c r="R53" s="1139"/>
      <c r="S53" s="1165">
        <f>(S51+S52)/2</f>
        <v>7018.2274844153917</v>
      </c>
      <c r="T53" s="1168"/>
      <c r="U53" s="1139"/>
      <c r="V53" s="1165">
        <f>(V51+V52)/2</f>
        <v>7343.9730878709115</v>
      </c>
      <c r="W53" s="1168"/>
      <c r="X53" s="1139"/>
      <c r="Y53" s="1165">
        <f>(Y51+Y52)/2</f>
        <v>7332.0814072985841</v>
      </c>
      <c r="Z53" s="1168"/>
      <c r="AA53" s="1139"/>
      <c r="AB53" s="1165">
        <f>(AB51+AB52)/2</f>
        <v>7201.3425829082043</v>
      </c>
      <c r="AC53" s="1168"/>
      <c r="AD53" s="1139"/>
      <c r="AE53" s="1165">
        <f>(AE51+AE52)/2</f>
        <v>6979.5924458200816</v>
      </c>
      <c r="AF53" s="1168"/>
      <c r="AG53" s="1139"/>
      <c r="AH53" s="1165">
        <f>(AH51+AH52)/2</f>
        <v>6964.0940079655147</v>
      </c>
      <c r="AI53" s="1168"/>
      <c r="AJ53" s="1139"/>
      <c r="AK53" s="1165">
        <f>(AK51+AK52)/2</f>
        <v>6899.8982197439282</v>
      </c>
      <c r="AL53" s="1168"/>
      <c r="AM53" s="127"/>
      <c r="AN53" s="127"/>
      <c r="AO53" s="1165">
        <f>(AO51+AO52)/2</f>
        <v>3348.6014205439815</v>
      </c>
      <c r="AP53" s="1168"/>
      <c r="AQ53"/>
      <c r="AR53"/>
      <c r="AS53" s="329"/>
    </row>
    <row r="54" spans="2:45" x14ac:dyDescent="0.15">
      <c r="B54" s="1167" t="str">
        <f t="shared" si="8"/>
        <v>Taux de rotation des comptes fournisseurs</v>
      </c>
      <c r="C54" s="1139"/>
      <c r="D54" s="1197">
        <f>D19/D53</f>
        <v>4.0562838244137103</v>
      </c>
      <c r="E54" s="1198" t="s">
        <v>609</v>
      </c>
      <c r="F54" s="1139"/>
      <c r="G54" s="1197">
        <f>G19/G53</f>
        <v>1.884182727240916</v>
      </c>
      <c r="H54" s="1198" t="str">
        <f>E54</f>
        <v>X</v>
      </c>
      <c r="I54" s="1144"/>
      <c r="J54" s="1197">
        <f>J19/J53</f>
        <v>2.0344757675975118</v>
      </c>
      <c r="K54" s="1198" t="str">
        <f>H54</f>
        <v>X</v>
      </c>
      <c r="L54" s="1139"/>
      <c r="M54" s="1197">
        <f>M19/M53</f>
        <v>2.0213846197840488</v>
      </c>
      <c r="N54" s="1198" t="str">
        <f>K54</f>
        <v>X</v>
      </c>
      <c r="O54" s="1139"/>
      <c r="P54" s="1197">
        <f>P19/P53</f>
        <v>2.0269052405745915</v>
      </c>
      <c r="Q54" s="1198" t="str">
        <f>N54</f>
        <v>X</v>
      </c>
      <c r="R54" s="1139"/>
      <c r="S54" s="1197">
        <f>S19/S53</f>
        <v>1.9799794139249465</v>
      </c>
      <c r="T54" s="1198" t="str">
        <f>Q54</f>
        <v>X</v>
      </c>
      <c r="U54" s="1139"/>
      <c r="V54" s="1197">
        <f>V19/V53</f>
        <v>2.0323950101578063</v>
      </c>
      <c r="W54" s="1198" t="str">
        <f>T54</f>
        <v>X</v>
      </c>
      <c r="X54" s="1139"/>
      <c r="Y54" s="1197">
        <f>Y19/Y53</f>
        <v>2.0625608796385468</v>
      </c>
      <c r="Z54" s="1198" t="str">
        <f>W54</f>
        <v>X</v>
      </c>
      <c r="AA54" s="1139"/>
      <c r="AB54" s="1197">
        <f>AB19/AB53</f>
        <v>1.9202290202704051</v>
      </c>
      <c r="AC54" s="1198" t="str">
        <f>Z54</f>
        <v>X</v>
      </c>
      <c r="AD54" s="1139"/>
      <c r="AE54" s="1197">
        <f>AE19/AE53</f>
        <v>2.0520927061256766</v>
      </c>
      <c r="AF54" s="1198" t="str">
        <f>AC54</f>
        <v>X</v>
      </c>
      <c r="AG54" s="1139"/>
      <c r="AH54" s="1197">
        <f>AH19/AH53</f>
        <v>1.9116804262635334</v>
      </c>
      <c r="AI54" s="1198" t="str">
        <f>AF54</f>
        <v>X</v>
      </c>
      <c r="AJ54" s="1139"/>
      <c r="AK54" s="1197">
        <f>AK19/AK53</f>
        <v>2.1442685127047292</v>
      </c>
      <c r="AL54" s="1198" t="str">
        <f>AI54</f>
        <v>X</v>
      </c>
      <c r="AM54" s="127"/>
      <c r="AN54" s="127"/>
      <c r="AO54" s="1197">
        <f>AO19/AO53</f>
        <v>47.801340165868503</v>
      </c>
      <c r="AP54" s="1198" t="str">
        <f>AL54</f>
        <v>X</v>
      </c>
      <c r="AQ54"/>
      <c r="AR54"/>
      <c r="AS54" s="329"/>
    </row>
    <row r="55" spans="2:45" ht="14" thickBot="1" x14ac:dyDescent="0.2">
      <c r="B55" s="1174" t="str">
        <f t="shared" si="8"/>
        <v>Période de paiement des comptes fournisseurs</v>
      </c>
      <c r="C55" s="1139"/>
      <c r="D55" s="1175">
        <f>'% Occupation'!D9/'Coût marchandises vendues'!D54</f>
        <v>7.6424632352941178</v>
      </c>
      <c r="E55" s="1176" t="s">
        <v>614</v>
      </c>
      <c r="F55" s="1177"/>
      <c r="G55" s="1175">
        <f>'% Occupation'!E9/'Coût marchandises vendues'!G54</f>
        <v>14.860554443677296</v>
      </c>
      <c r="H55" s="1176" t="str">
        <f>E55</f>
        <v xml:space="preserve">jours </v>
      </c>
      <c r="I55" s="1177"/>
      <c r="J55" s="1175">
        <f>'% Occupation'!F9/'Coût marchandises vendues'!J54</f>
        <v>15.237340495142654</v>
      </c>
      <c r="K55" s="1176" t="str">
        <f>H55</f>
        <v xml:space="preserve">jours </v>
      </c>
      <c r="L55" s="1177"/>
      <c r="M55" s="1175">
        <f>'% Occupation'!G9/'Coût marchandises vendues'!M54</f>
        <v>14.841312091909058</v>
      </c>
      <c r="N55" s="1176" t="str">
        <f>K55</f>
        <v xml:space="preserve">jours </v>
      </c>
      <c r="O55" s="1178"/>
      <c r="P55" s="1175">
        <f>'% Occupation'!H9/'Coût marchandises vendues'!P54</f>
        <v>15.294252232142856</v>
      </c>
      <c r="Q55" s="1176" t="str">
        <f>N55</f>
        <v xml:space="preserve">jours </v>
      </c>
      <c r="R55" s="1178"/>
      <c r="S55" s="1175">
        <f>'% Occupation'!I9/'Coût marchandises vendues'!S54</f>
        <v>15.151672683571238</v>
      </c>
      <c r="T55" s="1176" t="str">
        <f>Q55</f>
        <v xml:space="preserve">jours </v>
      </c>
      <c r="U55" s="1178"/>
      <c r="V55" s="1175">
        <f>'% Occupation'!J9/'Coût marchandises vendues'!V54</f>
        <v>15.252940420077586</v>
      </c>
      <c r="W55" s="1176" t="str">
        <f>T55</f>
        <v xml:space="preserve">jours </v>
      </c>
      <c r="X55" s="1178"/>
      <c r="Y55" s="1175">
        <f>'% Occupation'!K9/'Coût marchandises vendues'!Y54</f>
        <v>15.029859387923905</v>
      </c>
      <c r="Z55" s="1176" t="str">
        <f>W55</f>
        <v xml:space="preserve">jours </v>
      </c>
      <c r="AA55" s="1178"/>
      <c r="AB55" s="1175">
        <f>'% Occupation'!L9/'Coût marchandises vendues'!AB54</f>
        <v>15.623136450554957</v>
      </c>
      <c r="AC55" s="1176" t="str">
        <f>Z55</f>
        <v xml:space="preserve">jours </v>
      </c>
      <c r="AD55" s="1178"/>
      <c r="AE55" s="1175">
        <f>'% Occupation'!M9/'Coût marchandises vendues'!AE54</f>
        <v>15.106529986419368</v>
      </c>
      <c r="AF55" s="1176" t="str">
        <f>AC55</f>
        <v xml:space="preserve">jours </v>
      </c>
      <c r="AG55" s="1178"/>
      <c r="AH55" s="1175">
        <f>'% Occupation'!N9/'Coût marchandises vendues'!AH54</f>
        <v>15.692999513855131</v>
      </c>
      <c r="AI55" s="1176" t="str">
        <f>AF55</f>
        <v xml:space="preserve">jours </v>
      </c>
      <c r="AJ55" s="1178"/>
      <c r="AK55" s="1175">
        <f>'% Occupation'!O9/'Coût marchandises vendues'!AK54</f>
        <v>14.457144623598161</v>
      </c>
      <c r="AL55" s="1176" t="str">
        <f>AI55</f>
        <v xml:space="preserve">jours </v>
      </c>
      <c r="AM55" s="1179"/>
      <c r="AN55" s="1179"/>
      <c r="AO55" s="1175">
        <f>'% Occupation'!P9/'Coût marchandises vendues'!AO54</f>
        <v>7.6357691799741678</v>
      </c>
      <c r="AP55" s="1176" t="str">
        <f>AL55</f>
        <v xml:space="preserve">jours </v>
      </c>
      <c r="AQ55"/>
      <c r="AR55"/>
      <c r="AS55" s="329"/>
    </row>
    <row r="56" spans="2:45" ht="15" thickTop="1" thickBot="1" x14ac:dyDescent="0.2">
      <c r="B56" s="127"/>
      <c r="C56" s="1139"/>
      <c r="D56" s="127"/>
      <c r="E56" s="127"/>
      <c r="F56" s="1139"/>
      <c r="G56" s="127"/>
      <c r="H56" s="127"/>
      <c r="I56" s="1139"/>
      <c r="J56" s="127"/>
      <c r="K56" s="127"/>
      <c r="L56" s="1139"/>
      <c r="M56" s="127"/>
      <c r="N56" s="127"/>
      <c r="O56" s="1139"/>
      <c r="P56" s="127"/>
      <c r="Q56" s="127"/>
      <c r="R56" s="1139"/>
      <c r="S56" s="127"/>
      <c r="T56" s="127"/>
      <c r="U56" s="1139"/>
      <c r="V56" s="127"/>
      <c r="W56" s="127"/>
      <c r="X56" s="1139"/>
      <c r="Y56" s="127"/>
      <c r="Z56" s="127"/>
      <c r="AA56" s="1139"/>
      <c r="AB56" s="127"/>
      <c r="AC56" s="127"/>
      <c r="AD56" s="1139"/>
      <c r="AE56" s="127"/>
      <c r="AF56" s="127"/>
      <c r="AG56" s="1139"/>
      <c r="AH56" s="127"/>
      <c r="AI56" s="127"/>
      <c r="AJ56" s="1139"/>
      <c r="AK56" s="127"/>
      <c r="AL56" s="127"/>
      <c r="AM56" s="127"/>
      <c r="AN56" s="127"/>
      <c r="AO56" s="127"/>
      <c r="AP56" s="127"/>
      <c r="AQ56"/>
      <c r="AR56"/>
      <c r="AS56" s="329"/>
    </row>
    <row r="57" spans="2:45" ht="14" thickTop="1" x14ac:dyDescent="0.15">
      <c r="B57" s="1181" t="s">
        <v>618</v>
      </c>
      <c r="C57" s="1139"/>
      <c r="D57" s="1182"/>
      <c r="E57" s="1183"/>
      <c r="F57" s="1139"/>
      <c r="G57" s="1182"/>
      <c r="H57" s="1183"/>
      <c r="I57" s="1139"/>
      <c r="J57" s="1182"/>
      <c r="K57" s="1183"/>
      <c r="L57" s="1139"/>
      <c r="M57" s="1182"/>
      <c r="N57" s="1183"/>
      <c r="O57" s="1139"/>
      <c r="P57" s="1182"/>
      <c r="Q57" s="1183"/>
      <c r="R57" s="1139"/>
      <c r="S57" s="1182"/>
      <c r="T57" s="1183"/>
      <c r="U57" s="1139"/>
      <c r="V57" s="1182"/>
      <c r="W57" s="1183"/>
      <c r="X57" s="1139"/>
      <c r="Y57" s="1182"/>
      <c r="Z57" s="1183"/>
      <c r="AA57" s="1139"/>
      <c r="AB57" s="1182"/>
      <c r="AC57" s="1183"/>
      <c r="AD57" s="1139"/>
      <c r="AE57" s="1182"/>
      <c r="AF57" s="1183"/>
      <c r="AG57" s="1139"/>
      <c r="AH57" s="1182"/>
      <c r="AI57" s="1183"/>
      <c r="AJ57" s="1139"/>
      <c r="AK57" s="1182"/>
      <c r="AL57" s="1183"/>
      <c r="AM57" s="127"/>
      <c r="AN57" s="127"/>
      <c r="AO57" s="1182"/>
      <c r="AP57" s="1183"/>
      <c r="AQ57"/>
      <c r="AR57"/>
      <c r="AS57" s="329"/>
    </row>
    <row r="58" spans="2:45" x14ac:dyDescent="0.15">
      <c r="B58" s="1138" t="str">
        <f t="shared" ref="B58:B72" si="9">B41</f>
        <v>Stock en début de période</v>
      </c>
      <c r="C58" s="1139"/>
      <c r="D58" s="1212">
        <f>+D64*D62</f>
        <v>4988.6133811807622</v>
      </c>
      <c r="E58" s="1141"/>
      <c r="F58" s="1139"/>
      <c r="G58" s="1140">
        <f>D61</f>
        <v>4835.339283072004</v>
      </c>
      <c r="H58" s="1141"/>
      <c r="I58" s="1139"/>
      <c r="J58" s="1140">
        <f>G61</f>
        <v>5965.4784283153012</v>
      </c>
      <c r="K58" s="1141"/>
      <c r="L58" s="1139"/>
      <c r="M58" s="1140">
        <f>J61</f>
        <v>5655.1148323831021</v>
      </c>
      <c r="N58" s="1141"/>
      <c r="O58" s="1139"/>
      <c r="P58" s="1140">
        <f>M61</f>
        <v>6291.6153802881145</v>
      </c>
      <c r="Q58" s="1141"/>
      <c r="R58" s="1139"/>
      <c r="S58" s="1140">
        <f>P61</f>
        <v>6257.1854574121144</v>
      </c>
      <c r="T58" s="1141"/>
      <c r="U58" s="1139"/>
      <c r="V58" s="1140">
        <f>S61</f>
        <v>6944.9727678240961</v>
      </c>
      <c r="W58" s="1141"/>
      <c r="X58" s="1139"/>
      <c r="Y58" s="1140">
        <f>V61</f>
        <v>6809.6527453209228</v>
      </c>
      <c r="Z58" s="1141"/>
      <c r="AA58" s="1139"/>
      <c r="AB58" s="1140">
        <f>Y61</f>
        <v>6226.6923986371203</v>
      </c>
      <c r="AC58" s="1141"/>
      <c r="AD58" s="1139"/>
      <c r="AE58" s="1140">
        <f>AB61</f>
        <v>6664.3591109926219</v>
      </c>
      <c r="AF58" s="1141"/>
      <c r="AG58" s="1139"/>
      <c r="AH58" s="1140">
        <f>AE61</f>
        <v>5994.7465962035867</v>
      </c>
      <c r="AI58" s="1141"/>
      <c r="AJ58" s="1139"/>
      <c r="AK58" s="1140">
        <f>AH61</f>
        <v>6884.1956293398716</v>
      </c>
      <c r="AL58" s="1141"/>
      <c r="AM58" s="127"/>
      <c r="AN58" s="127"/>
      <c r="AO58" s="1140">
        <f>D58</f>
        <v>4988.6133811807622</v>
      </c>
      <c r="AP58" s="1141"/>
      <c r="AQ58"/>
      <c r="AR58"/>
      <c r="AS58" s="329"/>
    </row>
    <row r="59" spans="2:45" x14ac:dyDescent="0.15">
      <c r="B59" s="1138" t="str">
        <f t="shared" si="9"/>
        <v>Achat de la période</v>
      </c>
      <c r="C59" s="1139"/>
      <c r="D59" s="1140">
        <f>D60-D58</f>
        <v>10892.941245934358</v>
      </c>
      <c r="E59" s="1141"/>
      <c r="F59" s="1139"/>
      <c r="G59" s="1140">
        <f>G60-G58</f>
        <v>11836.961843474164</v>
      </c>
      <c r="H59" s="1141"/>
      <c r="I59" s="1139"/>
      <c r="J59" s="1140">
        <f>J60-J58</f>
        <v>11620.593260698402</v>
      </c>
      <c r="K59" s="1141"/>
      <c r="L59" s="1139"/>
      <c r="M59" s="1140">
        <f>M60-M58</f>
        <v>13158.54053389617</v>
      </c>
      <c r="N59" s="1141"/>
      <c r="O59" s="1139"/>
      <c r="P59" s="1140">
        <f>P60-P58</f>
        <v>13447.603034884245</v>
      </c>
      <c r="Q59" s="1141"/>
      <c r="R59" s="1139"/>
      <c r="S59" s="1140">
        <f>S60-S58</f>
        <v>14542.983680395952</v>
      </c>
      <c r="T59" s="1141"/>
      <c r="U59" s="1139"/>
      <c r="V59" s="1140">
        <f>V60-V58</f>
        <v>14746.764479977031</v>
      </c>
      <c r="W59" s="1141"/>
      <c r="X59" s="1139"/>
      <c r="Y59" s="1140">
        <f>Y60-Y58</f>
        <v>14495.556446526811</v>
      </c>
      <c r="Z59" s="1141"/>
      <c r="AA59" s="1139"/>
      <c r="AB59" s="1140">
        <f>AB60-AB58</f>
        <v>14225.342737909128</v>
      </c>
      <c r="AC59" s="1141"/>
      <c r="AD59" s="1139"/>
      <c r="AE59" s="1140">
        <f>AE60-AE58</f>
        <v>13611.157008766584</v>
      </c>
      <c r="AF59" s="1141"/>
      <c r="AG59" s="1139"/>
      <c r="AH59" s="1140">
        <f>AH60-AH58</f>
        <v>14163.5307818728</v>
      </c>
      <c r="AI59" s="1141"/>
      <c r="AJ59" s="1139"/>
      <c r="AK59" s="1140">
        <f>AK60-AK58</f>
        <v>13355.126867115832</v>
      </c>
      <c r="AL59" s="1141"/>
      <c r="AM59" s="127"/>
      <c r="AN59" s="127"/>
      <c r="AO59" s="1140">
        <f>AO60-AO58</f>
        <v>160097.10192145145</v>
      </c>
      <c r="AP59" s="1141"/>
      <c r="AQ59"/>
      <c r="AR59"/>
      <c r="AS59" s="329"/>
    </row>
    <row r="60" spans="2:45" x14ac:dyDescent="0.15">
      <c r="B60" s="1138" t="str">
        <f t="shared" si="9"/>
        <v>Stock disponible pour la vente durant la période</v>
      </c>
      <c r="C60" s="1139"/>
      <c r="D60" s="1140">
        <f>D62+D61</f>
        <v>15881.554627115122</v>
      </c>
      <c r="E60" s="1142" t="s">
        <v>2</v>
      </c>
      <c r="F60" s="1139"/>
      <c r="G60" s="1140">
        <f>G62+G61</f>
        <v>16672.301126546168</v>
      </c>
      <c r="H60" s="1141"/>
      <c r="I60" s="1139"/>
      <c r="J60" s="1140">
        <f>J62+J61</f>
        <v>17586.071689013705</v>
      </c>
      <c r="K60" s="1141"/>
      <c r="L60" s="1139"/>
      <c r="M60" s="1140">
        <f>M62+M61</f>
        <v>18813.655366279272</v>
      </c>
      <c r="N60" s="1141"/>
      <c r="O60" s="1139"/>
      <c r="P60" s="1140">
        <f>P62+P61</f>
        <v>19739.21841517236</v>
      </c>
      <c r="Q60" s="1141"/>
      <c r="R60" s="1139"/>
      <c r="S60" s="1140">
        <f>S62+S61</f>
        <v>20800.169137808065</v>
      </c>
      <c r="T60" s="1141"/>
      <c r="U60" s="1139"/>
      <c r="V60" s="1140">
        <f>V62+V61</f>
        <v>21691.737247801128</v>
      </c>
      <c r="W60" s="1141"/>
      <c r="X60" s="1139"/>
      <c r="Y60" s="1140">
        <f>Y62+Y61</f>
        <v>21305.209191847734</v>
      </c>
      <c r="Z60" s="1141"/>
      <c r="AA60" s="1139"/>
      <c r="AB60" s="1140">
        <f>AB62+AB61</f>
        <v>20452.035136546248</v>
      </c>
      <c r="AC60" s="1141"/>
      <c r="AD60" s="1139"/>
      <c r="AE60" s="1140">
        <f>AE61+AE62</f>
        <v>20275.516119759206</v>
      </c>
      <c r="AF60" s="1141"/>
      <c r="AG60" s="1139"/>
      <c r="AH60" s="1140">
        <f>AH61+AH62</f>
        <v>20158.277378076386</v>
      </c>
      <c r="AI60" s="1141"/>
      <c r="AJ60" s="1139"/>
      <c r="AK60" s="1140">
        <f>AK61+AK62</f>
        <v>20239.322496455705</v>
      </c>
      <c r="AL60" s="1141"/>
      <c r="AM60" s="127"/>
      <c r="AN60" s="127"/>
      <c r="AO60" s="1140">
        <f>AO61+AO62</f>
        <v>165085.71530263222</v>
      </c>
      <c r="AP60" s="1141"/>
      <c r="AQ60"/>
      <c r="AR60"/>
      <c r="AS60" s="329"/>
    </row>
    <row r="61" spans="2:45" x14ac:dyDescent="0.15">
      <c r="B61" s="1138" t="str">
        <f t="shared" si="9"/>
        <v>Stock en fin de période</v>
      </c>
      <c r="C61" s="1139"/>
      <c r="D61" s="1143">
        <f>+D64*G62</f>
        <v>4835.339283072004</v>
      </c>
      <c r="E61" s="1141"/>
      <c r="F61" s="1139"/>
      <c r="G61" s="1140">
        <f>G64*J62</f>
        <v>5965.4784283153012</v>
      </c>
      <c r="H61" s="1141"/>
      <c r="I61" s="1144"/>
      <c r="J61" s="1140">
        <f>J64*M62</f>
        <v>5655.1148323831021</v>
      </c>
      <c r="K61" s="1141"/>
      <c r="L61" s="1139"/>
      <c r="M61" s="1140">
        <f>P62*M64</f>
        <v>6291.6153802881145</v>
      </c>
      <c r="N61" s="1141"/>
      <c r="O61" s="1139"/>
      <c r="P61" s="1140">
        <f>S62*P64</f>
        <v>6257.1854574121144</v>
      </c>
      <c r="Q61" s="1141"/>
      <c r="R61" s="1139"/>
      <c r="S61" s="1140">
        <f>V62*S64</f>
        <v>6944.9727678240961</v>
      </c>
      <c r="T61" s="1141"/>
      <c r="U61" s="1139"/>
      <c r="V61" s="1140">
        <f>Y62*V64</f>
        <v>6809.6527453209228</v>
      </c>
      <c r="W61" s="1141"/>
      <c r="X61" s="1139"/>
      <c r="Y61" s="1140">
        <f>AB62*Y64</f>
        <v>6226.6923986371203</v>
      </c>
      <c r="Z61" s="1141"/>
      <c r="AA61" s="1139"/>
      <c r="AB61" s="1140">
        <f>AE62*AB64</f>
        <v>6664.3591109926219</v>
      </c>
      <c r="AC61" s="1141"/>
      <c r="AD61" s="1139"/>
      <c r="AE61" s="1140">
        <f>AH62*AE64</f>
        <v>5994.7465962035867</v>
      </c>
      <c r="AF61" s="1141"/>
      <c r="AG61" s="1139"/>
      <c r="AH61" s="1140">
        <f>AK62*AH64</f>
        <v>6884.1956293398716</v>
      </c>
      <c r="AI61" s="1141"/>
      <c r="AJ61" s="1139"/>
      <c r="AK61" s="1140">
        <f>+(D62*1.1)*AK64</f>
        <v>5487.4747192988389</v>
      </c>
      <c r="AL61" s="1141"/>
      <c r="AM61" s="127"/>
      <c r="AN61" s="127"/>
      <c r="AO61" s="1140">
        <f>+AK61</f>
        <v>5487.4747192988389</v>
      </c>
      <c r="AP61" s="1141"/>
      <c r="AQ61"/>
      <c r="AR61"/>
      <c r="AS61" s="329"/>
    </row>
    <row r="62" spans="2:45" x14ac:dyDescent="0.15">
      <c r="B62" s="1146" t="str">
        <f t="shared" si="9"/>
        <v>Coûts des marchandises vendues durant la période</v>
      </c>
      <c r="C62" s="1139"/>
      <c r="D62" s="1145">
        <f>D20</f>
        <v>11046.215344043118</v>
      </c>
      <c r="E62" s="1199" t="s">
        <v>2</v>
      </c>
      <c r="F62" s="1200"/>
      <c r="G62" s="1145">
        <f>G20</f>
        <v>10706.822698230866</v>
      </c>
      <c r="H62" s="1201"/>
      <c r="I62" s="1202"/>
      <c r="J62" s="1145">
        <f>J20</f>
        <v>11930.956856630602</v>
      </c>
      <c r="K62" s="1201"/>
      <c r="L62" s="1200"/>
      <c r="M62" s="1145">
        <f>M20</f>
        <v>12522.039985991156</v>
      </c>
      <c r="N62" s="1201"/>
      <c r="O62" s="1200"/>
      <c r="P62" s="1145">
        <f>P20</f>
        <v>13482.032957760244</v>
      </c>
      <c r="Q62" s="1201"/>
      <c r="R62" s="1200"/>
      <c r="S62" s="1145">
        <f>S20</f>
        <v>13855.196369983967</v>
      </c>
      <c r="T62" s="1201"/>
      <c r="U62" s="1200"/>
      <c r="V62" s="1145">
        <f>V20</f>
        <v>14882.084502480206</v>
      </c>
      <c r="W62" s="1201"/>
      <c r="X62" s="1200"/>
      <c r="Y62" s="1145">
        <f>Y20</f>
        <v>15078.516793210614</v>
      </c>
      <c r="Z62" s="1201"/>
      <c r="AA62" s="1200"/>
      <c r="AB62" s="1145">
        <f>AB20</f>
        <v>13787.676025553625</v>
      </c>
      <c r="AC62" s="1201"/>
      <c r="AD62" s="1200"/>
      <c r="AE62" s="1145">
        <f>AE20</f>
        <v>14280.769523555618</v>
      </c>
      <c r="AF62" s="1201"/>
      <c r="AG62" s="1200"/>
      <c r="AH62" s="1145">
        <f>AH20</f>
        <v>13274.081748736513</v>
      </c>
      <c r="AI62" s="1201"/>
      <c r="AJ62" s="1200"/>
      <c r="AK62" s="1145">
        <f>AK20</f>
        <v>14751.847777156867</v>
      </c>
      <c r="AL62" s="1201"/>
      <c r="AM62" s="1203"/>
      <c r="AN62" s="1203"/>
      <c r="AO62" s="1145">
        <f>AO20</f>
        <v>159598.24058333339</v>
      </c>
      <c r="AP62" s="1201"/>
      <c r="AQ62"/>
      <c r="AR62"/>
      <c r="AS62" s="329"/>
    </row>
    <row r="63" spans="2:45" x14ac:dyDescent="0.15">
      <c r="B63" s="1138" t="str">
        <f t="shared" si="9"/>
        <v>Nombre de jours de provision en inventaire</v>
      </c>
      <c r="C63" s="1139"/>
      <c r="D63" s="1184">
        <v>14</v>
      </c>
      <c r="E63" s="1185" t="s">
        <v>486</v>
      </c>
      <c r="F63" s="1186"/>
      <c r="G63" s="1184">
        <v>14</v>
      </c>
      <c r="H63" s="1185" t="str">
        <f>E63</f>
        <v>jours</v>
      </c>
      <c r="I63" s="1187"/>
      <c r="J63" s="1184">
        <v>14</v>
      </c>
      <c r="K63" s="1185" t="str">
        <f>H63</f>
        <v>jours</v>
      </c>
      <c r="L63" s="1186"/>
      <c r="M63" s="1184">
        <v>14</v>
      </c>
      <c r="N63" s="1185" t="str">
        <f>K63</f>
        <v>jours</v>
      </c>
      <c r="O63" s="1186"/>
      <c r="P63" s="1184">
        <v>14</v>
      </c>
      <c r="Q63" s="1185" t="str">
        <f>N63</f>
        <v>jours</v>
      </c>
      <c r="R63" s="1186"/>
      <c r="S63" s="1184">
        <v>14</v>
      </c>
      <c r="T63" s="1185" t="str">
        <f>Q63</f>
        <v>jours</v>
      </c>
      <c r="U63" s="1186"/>
      <c r="V63" s="1184">
        <v>14</v>
      </c>
      <c r="W63" s="1185" t="str">
        <f>T63</f>
        <v>jours</v>
      </c>
      <c r="X63" s="1186"/>
      <c r="Y63" s="1184">
        <v>14</v>
      </c>
      <c r="Z63" s="1185" t="str">
        <f>W63</f>
        <v>jours</v>
      </c>
      <c r="AA63" s="1186"/>
      <c r="AB63" s="1184">
        <v>14</v>
      </c>
      <c r="AC63" s="1185" t="str">
        <f>Z63</f>
        <v>jours</v>
      </c>
      <c r="AD63" s="1186"/>
      <c r="AE63" s="1184">
        <v>14</v>
      </c>
      <c r="AF63" s="1185" t="str">
        <f>AC63</f>
        <v>jours</v>
      </c>
      <c r="AG63" s="1186"/>
      <c r="AH63" s="1184">
        <v>14</v>
      </c>
      <c r="AI63" s="1185" t="str">
        <f>AF63</f>
        <v>jours</v>
      </c>
      <c r="AJ63" s="1186"/>
      <c r="AK63" s="1184">
        <v>14</v>
      </c>
      <c r="AL63" s="1185" t="str">
        <f>AI63</f>
        <v>jours</v>
      </c>
      <c r="AM63" s="1188"/>
      <c r="AN63" s="1188"/>
      <c r="AO63" s="1204" t="s">
        <v>2</v>
      </c>
      <c r="AP63" s="1185" t="s">
        <v>2</v>
      </c>
      <c r="AQ63"/>
      <c r="AR63"/>
      <c r="AS63" s="329"/>
    </row>
    <row r="64" spans="2:45" x14ac:dyDescent="0.15">
      <c r="B64" s="1205" t="str">
        <f t="shared" si="9"/>
        <v>Multiplicateur pour le calcul du nombre de jours de provision</v>
      </c>
      <c r="C64" s="1206"/>
      <c r="D64" s="1189">
        <f>D63/'% Occupation'!D9</f>
        <v>0.45161290322580644</v>
      </c>
      <c r="E64" s="1207" t="s">
        <v>609</v>
      </c>
      <c r="F64" s="1208"/>
      <c r="G64" s="1189">
        <f>G63/'% Occupation'!E9</f>
        <v>0.5</v>
      </c>
      <c r="H64" s="1207" t="str">
        <f>E64</f>
        <v>X</v>
      </c>
      <c r="I64" s="1208"/>
      <c r="J64" s="1189">
        <f>J63/'% Occupation'!F9</f>
        <v>0.45161290322580644</v>
      </c>
      <c r="K64" s="1207" t="str">
        <f>H64</f>
        <v>X</v>
      </c>
      <c r="L64" s="1208"/>
      <c r="M64" s="1189">
        <f>M63/'% Occupation'!G9</f>
        <v>0.46666666666666667</v>
      </c>
      <c r="N64" s="1207" t="str">
        <f>K64</f>
        <v>X</v>
      </c>
      <c r="O64" s="1208"/>
      <c r="P64" s="1189">
        <f>P63/'% Occupation'!H9</f>
        <v>0.45161290322580644</v>
      </c>
      <c r="Q64" s="1207" t="str">
        <f>N64</f>
        <v>X</v>
      </c>
      <c r="R64" s="1208"/>
      <c r="S64" s="1189">
        <f>S63/'% Occupation'!I9</f>
        <v>0.46666666666666667</v>
      </c>
      <c r="T64" s="1207" t="str">
        <f>Q64</f>
        <v>X</v>
      </c>
      <c r="U64" s="1208"/>
      <c r="V64" s="1189">
        <f>V63/'% Occupation'!J9</f>
        <v>0.45161290322580644</v>
      </c>
      <c r="W64" s="1207" t="str">
        <f>T64</f>
        <v>X</v>
      </c>
      <c r="X64" s="1208"/>
      <c r="Y64" s="1189">
        <f>Y63/'% Occupation'!K9</f>
        <v>0.45161290322580644</v>
      </c>
      <c r="Z64" s="1207" t="str">
        <f>W64</f>
        <v>X</v>
      </c>
      <c r="AA64" s="1208"/>
      <c r="AB64" s="1189">
        <f>AB63/'% Occupation'!L9</f>
        <v>0.46666666666666667</v>
      </c>
      <c r="AC64" s="1207" t="str">
        <f>Z64</f>
        <v>X</v>
      </c>
      <c r="AD64" s="1208"/>
      <c r="AE64" s="1189">
        <f>AE63/'% Occupation'!M9</f>
        <v>0.45161290322580644</v>
      </c>
      <c r="AF64" s="1207" t="str">
        <f>AC64</f>
        <v>X</v>
      </c>
      <c r="AG64" s="1208"/>
      <c r="AH64" s="1189">
        <f>AH63/'% Occupation'!N9</f>
        <v>0.46666666666666667</v>
      </c>
      <c r="AI64" s="1207" t="str">
        <f>AF64</f>
        <v>X</v>
      </c>
      <c r="AJ64" s="1208"/>
      <c r="AK64" s="1189">
        <f>AK63/'% Occupation'!O9</f>
        <v>0.45161290322580644</v>
      </c>
      <c r="AL64" s="1207" t="str">
        <f>AI64</f>
        <v>X</v>
      </c>
      <c r="AM64" s="1209"/>
      <c r="AN64" s="1209"/>
      <c r="AO64" s="1189" t="s">
        <v>2</v>
      </c>
      <c r="AP64" s="1207" t="s">
        <v>2</v>
      </c>
      <c r="AQ64"/>
      <c r="AR64"/>
      <c r="AS64" s="329"/>
    </row>
    <row r="65" spans="2:45" x14ac:dyDescent="0.15">
      <c r="B65" s="1138" t="str">
        <f t="shared" si="9"/>
        <v>Taux de rotation des stocks</v>
      </c>
      <c r="C65" s="1139"/>
      <c r="D65" s="1148">
        <f>D62/((D58+D61)/2)</f>
        <v>2.2488331777570343</v>
      </c>
      <c r="E65" s="1149" t="s">
        <v>609</v>
      </c>
      <c r="F65" s="1139"/>
      <c r="G65" s="1148">
        <f>G62/((G58+G61)/2)</f>
        <v>1.9825948338971888</v>
      </c>
      <c r="H65" s="1149" t="str">
        <f>E65</f>
        <v>X</v>
      </c>
      <c r="I65" s="1144"/>
      <c r="J65" s="1148">
        <f>J62/((J58+J61)/2)</f>
        <v>2.0534161361592216</v>
      </c>
      <c r="K65" s="1149" t="str">
        <f>H65</f>
        <v>X</v>
      </c>
      <c r="L65" s="1139"/>
      <c r="M65" s="1148">
        <f>M62/((M58+M61)/2)</f>
        <v>2.0963125077872338</v>
      </c>
      <c r="N65" s="1149" t="str">
        <f>K65</f>
        <v>X</v>
      </c>
      <c r="O65" s="1139"/>
      <c r="P65" s="1148">
        <f>P62/((P58+P61)/2)</f>
        <v>2.1487364620938623</v>
      </c>
      <c r="Q65" s="1149" t="str">
        <f>N65</f>
        <v>X</v>
      </c>
      <c r="R65" s="1139"/>
      <c r="S65" s="1148">
        <f>S62/((S58+S61)/2)</f>
        <v>2.0989289983662611</v>
      </c>
      <c r="T65" s="1149" t="str">
        <f>Q65</f>
        <v>X</v>
      </c>
      <c r="U65" s="1139"/>
      <c r="V65" s="1148">
        <f>V62/((V58+V61)/2)</f>
        <v>2.1639388856145443</v>
      </c>
      <c r="W65" s="1149" t="str">
        <f>T65</f>
        <v>X</v>
      </c>
      <c r="X65" s="1139"/>
      <c r="Y65" s="1148">
        <f>Y62/((Y58+Y61)/2)</f>
        <v>2.3133043236737341</v>
      </c>
      <c r="Z65" s="1149" t="str">
        <f>W65</f>
        <v>X</v>
      </c>
      <c r="AA65" s="1139"/>
      <c r="AB65" s="1148">
        <f>AB62/((AB58+AB61)/2)</f>
        <v>2.1391080495263082</v>
      </c>
      <c r="AC65" s="1149" t="str">
        <f>Z65</f>
        <v>X</v>
      </c>
      <c r="AD65" s="1139"/>
      <c r="AE65" s="1148">
        <f>AE62/((AE58+AE61)/2)</f>
        <v>2.2562051149375515</v>
      </c>
      <c r="AF65" s="1149" t="str">
        <f>AC65</f>
        <v>X</v>
      </c>
      <c r="AG65" s="1139"/>
      <c r="AH65" s="1148">
        <f>AH62/((AH58+AH61)/2)</f>
        <v>2.061362108203165</v>
      </c>
      <c r="AI65" s="1149" t="str">
        <f>AF65</f>
        <v>X</v>
      </c>
      <c r="AJ65" s="1139"/>
      <c r="AK65" s="1148">
        <f>AK62/((AK58+AK61)/2)</f>
        <v>2.3847786695642199</v>
      </c>
      <c r="AL65" s="1149" t="str">
        <f>AI65</f>
        <v>X</v>
      </c>
      <c r="AM65" s="127"/>
      <c r="AN65" s="127"/>
      <c r="AO65" s="1148">
        <f>AO62/((AO58+AO61)/2)</f>
        <v>30.469052770953098</v>
      </c>
      <c r="AP65" s="1149" t="str">
        <f>AL65</f>
        <v>X</v>
      </c>
      <c r="AQ65"/>
      <c r="AR65"/>
      <c r="AS65" s="329"/>
    </row>
    <row r="66" spans="2:45" ht="14" thickBot="1" x14ac:dyDescent="0.2">
      <c r="B66" s="1194" t="str">
        <f t="shared" si="9"/>
        <v>Niveau des stocks  (nombre de jours de provision)</v>
      </c>
      <c r="C66" s="1139"/>
      <c r="D66" s="1151">
        <f>'% Occupation'!D9/'Coût marchandises vendues'!D65</f>
        <v>13.784926470588236</v>
      </c>
      <c r="E66" s="1152" t="s">
        <v>486</v>
      </c>
      <c r="F66" s="1139"/>
      <c r="G66" s="1151">
        <f>'% Occupation'!E9/'Coût marchandises vendues'!G65</f>
        <v>14.122905760306239</v>
      </c>
      <c r="H66" s="1152" t="str">
        <f>E66</f>
        <v>jours</v>
      </c>
      <c r="I66" s="1144"/>
      <c r="J66" s="1151">
        <f>'% Occupation'!F9/'Coût marchandises vendues'!J65</f>
        <v>15.096793803317158</v>
      </c>
      <c r="K66" s="1152" t="str">
        <f>H66</f>
        <v>jours</v>
      </c>
      <c r="L66" s="1139"/>
      <c r="M66" s="1151">
        <f>'% Occupation'!G9/'Coût marchandises vendues'!M65</f>
        <v>14.310843392174649</v>
      </c>
      <c r="N66" s="1152" t="str">
        <f>K66</f>
        <v>jours</v>
      </c>
      <c r="O66" s="1139"/>
      <c r="P66" s="1151">
        <f>'% Occupation'!H9/'Coût marchandises vendues'!P65</f>
        <v>14.427083333333337</v>
      </c>
      <c r="Q66" s="1152" t="str">
        <f>N66</f>
        <v>jours</v>
      </c>
      <c r="R66" s="1139"/>
      <c r="S66" s="1151">
        <f>'% Occupation'!I9/'Coût marchandises vendues'!S65</f>
        <v>14.293003728735481</v>
      </c>
      <c r="T66" s="1152" t="str">
        <f>Q66</f>
        <v>jours</v>
      </c>
      <c r="U66" s="1139"/>
      <c r="V66" s="1151">
        <f>'% Occupation'!J9/'Coût marchandises vendues'!V65</f>
        <v>14.325728053635029</v>
      </c>
      <c r="W66" s="1152" t="str">
        <f>T66</f>
        <v>jours</v>
      </c>
      <c r="X66" s="1139"/>
      <c r="Y66" s="1151">
        <f>'% Occupation'!K9/'Coût marchandises vendues'!Y65</f>
        <v>13.400744416873449</v>
      </c>
      <c r="Z66" s="1152" t="str">
        <f>W66</f>
        <v>jours</v>
      </c>
      <c r="AA66" s="1139"/>
      <c r="AB66" s="1151">
        <f>'% Occupation'!L9/'Coût marchandises vendues'!AB65</f>
        <v>14.024537005806373</v>
      </c>
      <c r="AC66" s="1152" t="str">
        <f>Z66</f>
        <v>jours</v>
      </c>
      <c r="AD66" s="1139"/>
      <c r="AE66" s="1151">
        <f>'% Occupation'!M9/'Coût marchandises vendues'!AE65</f>
        <v>13.739885524928454</v>
      </c>
      <c r="AF66" s="1152" t="str">
        <f>AC66</f>
        <v>jours</v>
      </c>
      <c r="AG66" s="1139"/>
      <c r="AH66" s="1151">
        <f>'% Occupation'!N9/'Coût marchandises vendues'!AH65</f>
        <v>14.55348377687519</v>
      </c>
      <c r="AI66" s="1152" t="str">
        <f>AF66</f>
        <v>jours</v>
      </c>
      <c r="AJ66" s="1139"/>
      <c r="AK66" s="1151">
        <f>'% Occupation'!O9/'Coût marchandises vendues'!AK65</f>
        <v>12.999109894615399</v>
      </c>
      <c r="AL66" s="1152" t="str">
        <f>AI66</f>
        <v>jours</v>
      </c>
      <c r="AM66" s="127"/>
      <c r="AN66" s="127"/>
      <c r="AO66" s="1151">
        <f>'% Occupation'!P9/'Coût marchandises vendues'!AO65</f>
        <v>11.979368139332626</v>
      </c>
      <c r="AP66" s="1152" t="str">
        <f>AL66</f>
        <v>jours</v>
      </c>
      <c r="AQ66"/>
      <c r="AR66"/>
      <c r="AS66" s="329"/>
    </row>
    <row r="67" spans="2:45" x14ac:dyDescent="0.15">
      <c r="B67" s="1155" t="str">
        <f t="shared" si="9"/>
        <v>Pourcentage des achats non payé à la fin du mois</v>
      </c>
      <c r="C67" s="1139"/>
      <c r="D67" s="1195">
        <v>0.5</v>
      </c>
      <c r="E67" s="1157"/>
      <c r="F67" s="1158"/>
      <c r="G67" s="1195">
        <f>+D67</f>
        <v>0.5</v>
      </c>
      <c r="H67" s="1157"/>
      <c r="I67" s="1159"/>
      <c r="J67" s="1195">
        <f>+G67</f>
        <v>0.5</v>
      </c>
      <c r="K67" s="1157"/>
      <c r="L67" s="1158"/>
      <c r="M67" s="1195">
        <f>+J67</f>
        <v>0.5</v>
      </c>
      <c r="N67" s="1157"/>
      <c r="O67" s="1158"/>
      <c r="P67" s="1195">
        <f>+M67</f>
        <v>0.5</v>
      </c>
      <c r="Q67" s="1157"/>
      <c r="R67" s="1158"/>
      <c r="S67" s="1195">
        <f>+P67</f>
        <v>0.5</v>
      </c>
      <c r="T67" s="1157"/>
      <c r="U67" s="1158"/>
      <c r="V67" s="1195">
        <f>+S67</f>
        <v>0.5</v>
      </c>
      <c r="W67" s="1157"/>
      <c r="X67" s="1158"/>
      <c r="Y67" s="1195">
        <f>+V67</f>
        <v>0.5</v>
      </c>
      <c r="Z67" s="1157"/>
      <c r="AA67" s="1158"/>
      <c r="AB67" s="1195">
        <f>+Y67</f>
        <v>0.5</v>
      </c>
      <c r="AC67" s="1157"/>
      <c r="AD67" s="1158"/>
      <c r="AE67" s="1195">
        <f>+AB67</f>
        <v>0.5</v>
      </c>
      <c r="AF67" s="1157"/>
      <c r="AG67" s="1158"/>
      <c r="AH67" s="1195">
        <f>+AE67</f>
        <v>0.5</v>
      </c>
      <c r="AI67" s="1157"/>
      <c r="AJ67" s="1158"/>
      <c r="AK67" s="1195">
        <f>+AH67</f>
        <v>0.5</v>
      </c>
      <c r="AL67" s="1157"/>
      <c r="AM67" s="1160"/>
      <c r="AN67" s="1160"/>
      <c r="AO67" s="1161">
        <f>+AO69/AO59</f>
        <v>4.1709458531198979E-2</v>
      </c>
      <c r="AP67" s="1162"/>
      <c r="AQ67"/>
      <c r="AR67"/>
      <c r="AS67" s="329"/>
    </row>
    <row r="68" spans="2:45" x14ac:dyDescent="0.15">
      <c r="B68" s="1164" t="str">
        <f t="shared" si="9"/>
        <v>Comptes fournisseurs en début de période</v>
      </c>
      <c r="C68" s="1139"/>
      <c r="D68" s="1196">
        <v>0</v>
      </c>
      <c r="E68" s="1166"/>
      <c r="F68" s="1139"/>
      <c r="G68" s="1165">
        <f>D69</f>
        <v>5446.4706229671792</v>
      </c>
      <c r="H68" s="1166"/>
      <c r="I68" s="1144"/>
      <c r="J68" s="1165">
        <f>G69</f>
        <v>5918.4809217370821</v>
      </c>
      <c r="K68" s="1166"/>
      <c r="L68" s="1139"/>
      <c r="M68" s="1165">
        <f>J69</f>
        <v>5810.2966303492012</v>
      </c>
      <c r="N68" s="1166"/>
      <c r="O68" s="1139"/>
      <c r="P68" s="1165">
        <f>M69</f>
        <v>6579.270266948085</v>
      </c>
      <c r="Q68" s="1166"/>
      <c r="R68" s="1139"/>
      <c r="S68" s="1165">
        <f>P69</f>
        <v>6723.8015174421225</v>
      </c>
      <c r="T68" s="1166"/>
      <c r="U68" s="1139"/>
      <c r="V68" s="1165">
        <f>S69</f>
        <v>7271.4918401979758</v>
      </c>
      <c r="W68" s="1166"/>
      <c r="X68" s="1139"/>
      <c r="Y68" s="1165">
        <f>V69</f>
        <v>7373.3822399885157</v>
      </c>
      <c r="Z68" s="1166"/>
      <c r="AA68" s="1139"/>
      <c r="AB68" s="1165">
        <f>Y69</f>
        <v>7247.7782232634054</v>
      </c>
      <c r="AC68" s="1166"/>
      <c r="AD68" s="1139"/>
      <c r="AE68" s="1165">
        <f>AB69</f>
        <v>7112.6713689545641</v>
      </c>
      <c r="AF68" s="1166"/>
      <c r="AG68" s="1139"/>
      <c r="AH68" s="1165">
        <f>AE69</f>
        <v>6805.5785043832921</v>
      </c>
      <c r="AI68" s="1166"/>
      <c r="AJ68" s="1139"/>
      <c r="AK68" s="1165">
        <f>AH69</f>
        <v>7081.7653909363999</v>
      </c>
      <c r="AL68" s="1166"/>
      <c r="AM68" s="127"/>
      <c r="AN68" s="127"/>
      <c r="AO68" s="1165">
        <f>+D68</f>
        <v>0</v>
      </c>
      <c r="AP68" s="1166"/>
      <c r="AQ68"/>
      <c r="AR68"/>
    </row>
    <row r="69" spans="2:45" x14ac:dyDescent="0.15">
      <c r="B69" s="1167" t="str">
        <f t="shared" si="9"/>
        <v>Comptes fournisseurs à la fin de la période</v>
      </c>
      <c r="C69" s="1139"/>
      <c r="D69" s="1165">
        <f>D67*D59</f>
        <v>5446.4706229671792</v>
      </c>
      <c r="E69" s="1168"/>
      <c r="F69" s="1139"/>
      <c r="G69" s="1165">
        <f>G67*G59</f>
        <v>5918.4809217370821</v>
      </c>
      <c r="H69" s="1168"/>
      <c r="I69" s="1144"/>
      <c r="J69" s="1165">
        <f>J67*J59</f>
        <v>5810.2966303492012</v>
      </c>
      <c r="K69" s="1168"/>
      <c r="L69" s="1139"/>
      <c r="M69" s="1165">
        <f>M67*M59</f>
        <v>6579.270266948085</v>
      </c>
      <c r="N69" s="1168"/>
      <c r="O69" s="1139"/>
      <c r="P69" s="1165">
        <f>P67*P59</f>
        <v>6723.8015174421225</v>
      </c>
      <c r="Q69" s="1168"/>
      <c r="R69" s="1139"/>
      <c r="S69" s="1165">
        <f>S67*S59</f>
        <v>7271.4918401979758</v>
      </c>
      <c r="T69" s="1168"/>
      <c r="U69" s="1139"/>
      <c r="V69" s="1165">
        <f>V67*V59</f>
        <v>7373.3822399885157</v>
      </c>
      <c r="W69" s="1168"/>
      <c r="X69" s="1139"/>
      <c r="Y69" s="1165">
        <f>Y67*Y59</f>
        <v>7247.7782232634054</v>
      </c>
      <c r="Z69" s="1168"/>
      <c r="AA69" s="1139"/>
      <c r="AB69" s="1165">
        <f>AB67*AB59</f>
        <v>7112.6713689545641</v>
      </c>
      <c r="AC69" s="1168"/>
      <c r="AD69" s="1139"/>
      <c r="AE69" s="1165">
        <f>AE67*AE59</f>
        <v>6805.5785043832921</v>
      </c>
      <c r="AF69" s="1168"/>
      <c r="AG69" s="1139"/>
      <c r="AH69" s="1165">
        <f>AH67*AH59</f>
        <v>7081.7653909363999</v>
      </c>
      <c r="AI69" s="1168"/>
      <c r="AJ69" s="1139"/>
      <c r="AK69" s="1165">
        <f>AK67*AK59</f>
        <v>6677.5634335579161</v>
      </c>
      <c r="AL69" s="1168"/>
      <c r="AM69" s="127"/>
      <c r="AN69" s="127"/>
      <c r="AO69" s="1165">
        <f>+AK69</f>
        <v>6677.5634335579161</v>
      </c>
      <c r="AP69" s="1168"/>
    </row>
    <row r="70" spans="2:45" x14ac:dyDescent="0.15">
      <c r="B70" s="1167" t="str">
        <f t="shared" si="9"/>
        <v>Comptes fournisseurs moyen</v>
      </c>
      <c r="C70" s="1139"/>
      <c r="D70" s="1165">
        <f>(D68+D69)/2</f>
        <v>2723.2353114835896</v>
      </c>
      <c r="E70" s="1168"/>
      <c r="F70" s="1139"/>
      <c r="G70" s="1165">
        <f>(G68+G69)/2</f>
        <v>5682.4757723521307</v>
      </c>
      <c r="H70" s="1168"/>
      <c r="I70" s="1144"/>
      <c r="J70" s="1165">
        <f>(J68+J69)/2</f>
        <v>5864.3887760431417</v>
      </c>
      <c r="K70" s="1168"/>
      <c r="L70" s="1139"/>
      <c r="M70" s="1165">
        <f>(M68+M69)/2</f>
        <v>6194.7834486486427</v>
      </c>
      <c r="N70" s="1168"/>
      <c r="O70" s="1139"/>
      <c r="P70" s="1165">
        <f>(P68+P69)/2</f>
        <v>6651.5358921951038</v>
      </c>
      <c r="Q70" s="1168"/>
      <c r="R70" s="1139"/>
      <c r="S70" s="1165">
        <f>(S68+S69)/2</f>
        <v>6997.6466788200487</v>
      </c>
      <c r="T70" s="1168"/>
      <c r="U70" s="1139"/>
      <c r="V70" s="1165">
        <f>(V68+V69)/2</f>
        <v>7322.4370400932457</v>
      </c>
      <c r="W70" s="1168"/>
      <c r="X70" s="1139"/>
      <c r="Y70" s="1165">
        <f>(Y68+Y69)/2</f>
        <v>7310.5802316259606</v>
      </c>
      <c r="Z70" s="1168"/>
      <c r="AA70" s="1139"/>
      <c r="AB70" s="1165">
        <f>(AB68+AB69)/2</f>
        <v>7180.2247961089852</v>
      </c>
      <c r="AC70" s="1168"/>
      <c r="AD70" s="1139"/>
      <c r="AE70" s="1165">
        <f>(AE68+AE69)/2</f>
        <v>6959.1249366689281</v>
      </c>
      <c r="AF70" s="1168"/>
      <c r="AG70" s="1139"/>
      <c r="AH70" s="1165">
        <f>(AH68+AH69)/2</f>
        <v>6943.6719476598464</v>
      </c>
      <c r="AI70" s="1168"/>
      <c r="AJ70" s="1139"/>
      <c r="AK70" s="1165">
        <f>(AK68+AK69)/2</f>
        <v>6879.664412247158</v>
      </c>
      <c r="AL70" s="1168"/>
      <c r="AM70" s="127"/>
      <c r="AN70" s="127"/>
      <c r="AO70" s="1165">
        <f>(AO68+AO69)/2</f>
        <v>3338.7817167789581</v>
      </c>
      <c r="AP70" s="1168"/>
    </row>
    <row r="71" spans="2:45" x14ac:dyDescent="0.15">
      <c r="B71" s="1167" t="str">
        <f t="shared" si="9"/>
        <v>Taux de rotation des comptes fournisseurs</v>
      </c>
      <c r="C71" s="1139"/>
      <c r="D71" s="1169">
        <f>D20/D70</f>
        <v>4.0562838244137103</v>
      </c>
      <c r="E71" s="1170" t="str">
        <f>E54</f>
        <v>X</v>
      </c>
      <c r="F71" s="1171"/>
      <c r="G71" s="1169">
        <f>G20/G70</f>
        <v>1.8841827272409157</v>
      </c>
      <c r="H71" s="1170" t="str">
        <f>E71</f>
        <v>X</v>
      </c>
      <c r="I71" s="1172"/>
      <c r="J71" s="1169">
        <f>J20/J70</f>
        <v>2.0344757675975118</v>
      </c>
      <c r="K71" s="1170" t="str">
        <f>H71</f>
        <v>X</v>
      </c>
      <c r="L71" s="1171"/>
      <c r="M71" s="1169">
        <f>M20/M70</f>
        <v>2.0213846197840488</v>
      </c>
      <c r="N71" s="1170" t="str">
        <f>K71</f>
        <v>X</v>
      </c>
      <c r="O71" s="1171"/>
      <c r="P71" s="1169">
        <f>P20/P70</f>
        <v>2.0269052405745911</v>
      </c>
      <c r="Q71" s="1170" t="str">
        <f>Q54</f>
        <v>X</v>
      </c>
      <c r="R71" s="1171"/>
      <c r="S71" s="1169">
        <f>S20/S70</f>
        <v>1.9799794139249463</v>
      </c>
      <c r="T71" s="1170" t="str">
        <f>T54</f>
        <v>X</v>
      </c>
      <c r="U71" s="1171"/>
      <c r="V71" s="1169">
        <f>V20/V70</f>
        <v>2.0323950101578059</v>
      </c>
      <c r="W71" s="1170" t="str">
        <f>W54</f>
        <v>X</v>
      </c>
      <c r="X71" s="1171"/>
      <c r="Y71" s="1169">
        <f>Y20/Y70</f>
        <v>2.0625608796385468</v>
      </c>
      <c r="Z71" s="1170" t="str">
        <f>Z54</f>
        <v>X</v>
      </c>
      <c r="AA71" s="1171"/>
      <c r="AB71" s="1169">
        <f>AB20/AB70</f>
        <v>1.9202290202704049</v>
      </c>
      <c r="AC71" s="1170" t="str">
        <f>AC54</f>
        <v>X</v>
      </c>
      <c r="AD71" s="1171"/>
      <c r="AE71" s="1169">
        <f>AE20/AE70</f>
        <v>2.0520927061256766</v>
      </c>
      <c r="AF71" s="1170" t="str">
        <f>AF54</f>
        <v>X</v>
      </c>
      <c r="AG71" s="1171"/>
      <c r="AH71" s="1169">
        <f>AH20/AH70</f>
        <v>1.9116804262635332</v>
      </c>
      <c r="AI71" s="1170" t="str">
        <f>AI54</f>
        <v>X</v>
      </c>
      <c r="AJ71" s="1171"/>
      <c r="AK71" s="1169">
        <f>AK20/AK70</f>
        <v>2.1442685127047292</v>
      </c>
      <c r="AL71" s="1170" t="str">
        <f>AL54</f>
        <v>X</v>
      </c>
      <c r="AM71" s="1173"/>
      <c r="AN71" s="1173"/>
      <c r="AO71" s="1169">
        <f>AO20/AO70</f>
        <v>47.801340165868496</v>
      </c>
      <c r="AP71" s="1170" t="str">
        <f>AP54</f>
        <v>X</v>
      </c>
    </row>
    <row r="72" spans="2:45" ht="14" thickBot="1" x14ac:dyDescent="0.2">
      <c r="B72" s="1210" t="str">
        <f t="shared" si="9"/>
        <v>Période de paiement des comptes fournisseurs</v>
      </c>
      <c r="C72" s="1178"/>
      <c r="D72" s="1175">
        <f>'% Occupation'!D9/'Coût marchandises vendues'!D71</f>
        <v>7.6424632352941178</v>
      </c>
      <c r="E72" s="1176" t="s">
        <v>614</v>
      </c>
      <c r="F72" s="1177"/>
      <c r="G72" s="1175">
        <f>'% Occupation'!E9/'Coût marchandises vendues'!G71</f>
        <v>14.860554443677298</v>
      </c>
      <c r="H72" s="1176" t="str">
        <f>E72</f>
        <v xml:space="preserve">jours </v>
      </c>
      <c r="I72" s="1177"/>
      <c r="J72" s="1175">
        <f>'% Occupation'!F9/'Coût marchandises vendues'!J71</f>
        <v>15.237340495142654</v>
      </c>
      <c r="K72" s="1176" t="str">
        <f>H72</f>
        <v xml:space="preserve">jours </v>
      </c>
      <c r="L72" s="1177"/>
      <c r="M72" s="1175">
        <f>'% Occupation'!G9/'Coût marchandises vendues'!M71</f>
        <v>14.841312091909058</v>
      </c>
      <c r="N72" s="1176" t="str">
        <f>K72</f>
        <v xml:space="preserve">jours </v>
      </c>
      <c r="O72" s="1178"/>
      <c r="P72" s="1175">
        <f>'[1]% Occupation'!H9/'[1]Coût marchandises vendues'!P71</f>
        <v>15.294252232142856</v>
      </c>
      <c r="Q72" s="1176" t="str">
        <f>N72</f>
        <v xml:space="preserve">jours </v>
      </c>
      <c r="R72" s="1178"/>
      <c r="S72" s="1175">
        <f>'[1]% Occupation'!I9/'[1]Coût marchandises vendues'!S71</f>
        <v>15.020742832319721</v>
      </c>
      <c r="T72" s="1176" t="str">
        <f>Q72</f>
        <v xml:space="preserve">jours </v>
      </c>
      <c r="U72" s="1178"/>
      <c r="V72" s="1175">
        <f>'[1]% Occupation'!J9/'[1]Coût marchandises vendues'!V71</f>
        <v>15.395715482924784</v>
      </c>
      <c r="W72" s="1176" t="str">
        <f>T72</f>
        <v xml:space="preserve">jours </v>
      </c>
      <c r="X72" s="1178"/>
      <c r="Y72" s="1175">
        <f>'[1]% Occupation'!K9/'[1]Coût marchandises vendues'!Y71</f>
        <v>15.029859387923901</v>
      </c>
      <c r="Z72" s="1176" t="str">
        <f>W72</f>
        <v xml:space="preserve">jours </v>
      </c>
      <c r="AA72" s="1178"/>
      <c r="AB72" s="1175">
        <f>'[1]% Occupation'!L9/'[1]Coût marchandises vendues'!AB71</f>
        <v>15.501130710085935</v>
      </c>
      <c r="AC72" s="1176" t="str">
        <f>Z72</f>
        <v xml:space="preserve">jours </v>
      </c>
      <c r="AD72" s="1178"/>
      <c r="AE72" s="1175">
        <f>'[1]% Occupation'!M9/'[1]Coût marchandises vendues'!AE71</f>
        <v>15.24943515589697</v>
      </c>
      <c r="AF72" s="1176" t="str">
        <f>AC72</f>
        <v xml:space="preserve">jours </v>
      </c>
      <c r="AG72" s="1178"/>
      <c r="AH72" s="1175">
        <f>'[1]% Occupation'!N9/'[1]Coût marchandises vendues'!AH71</f>
        <v>15.692999513855129</v>
      </c>
      <c r="AI72" s="1176" t="str">
        <f>AF72</f>
        <v xml:space="preserve">jours </v>
      </c>
      <c r="AJ72" s="1178"/>
      <c r="AK72" s="1175">
        <f>'[1]% Occupation'!O9/'[1]Coût marchandises vendues'!AK71</f>
        <v>14.780905511811026</v>
      </c>
      <c r="AL72" s="1176" t="str">
        <f>AI72</f>
        <v xml:space="preserve">jours </v>
      </c>
      <c r="AM72" s="1179"/>
      <c r="AN72" s="1179"/>
      <c r="AO72" s="1175">
        <f>'[1]% Occupation'!P9/'[1]Coût marchandises vendues'!AO71</f>
        <v>7.5985210918114143</v>
      </c>
      <c r="AP72" s="1176" t="str">
        <f>AL72</f>
        <v xml:space="preserve">jours </v>
      </c>
    </row>
    <row r="73" spans="2:45" ht="14" thickTop="1" x14ac:dyDescent="0.15">
      <c r="C73" s="209"/>
      <c r="F73" s="209"/>
      <c r="I73" s="209"/>
      <c r="L73" s="209"/>
      <c r="O73" s="209"/>
      <c r="U73" s="209"/>
      <c r="AD73" s="209"/>
    </row>
    <row r="74" spans="2:45" x14ac:dyDescent="0.15">
      <c r="C74" s="209"/>
      <c r="F74" s="209"/>
      <c r="I74" s="209"/>
      <c r="L74" s="209"/>
      <c r="O74" s="209"/>
      <c r="U74" s="209"/>
      <c r="AD74" s="209"/>
    </row>
    <row r="75" spans="2:45" x14ac:dyDescent="0.15">
      <c r="C75" s="209"/>
      <c r="F75" s="209"/>
      <c r="I75" s="209"/>
      <c r="L75" s="209"/>
      <c r="O75" s="209"/>
      <c r="U75" s="209"/>
      <c r="AD75" s="209"/>
    </row>
    <row r="76" spans="2:45" x14ac:dyDescent="0.15">
      <c r="C76" s="209"/>
      <c r="F76" s="209"/>
      <c r="I76" s="209"/>
      <c r="O76" s="209"/>
      <c r="U76" s="209"/>
      <c r="AD76" s="209"/>
    </row>
    <row r="77" spans="2:45" x14ac:dyDescent="0.15">
      <c r="C77" s="209"/>
      <c r="F77" s="209"/>
      <c r="I77" s="209"/>
      <c r="O77" s="209"/>
      <c r="U77" s="209"/>
      <c r="AD77" s="209"/>
    </row>
    <row r="78" spans="2:45" x14ac:dyDescent="0.15">
      <c r="C78" s="209"/>
      <c r="F78" s="209"/>
      <c r="I78" s="209"/>
      <c r="O78" s="209"/>
      <c r="U78" s="209"/>
      <c r="AD78" s="209"/>
    </row>
    <row r="79" spans="2:45" x14ac:dyDescent="0.15">
      <c r="C79" s="209"/>
      <c r="F79" s="209"/>
      <c r="O79" s="209"/>
      <c r="U79" s="209"/>
      <c r="AD79" s="209"/>
    </row>
    <row r="80" spans="2:45" x14ac:dyDescent="0.15">
      <c r="C80" s="209"/>
      <c r="O80" s="209"/>
      <c r="AD80" s="209"/>
    </row>
    <row r="81" spans="3:15" x14ac:dyDescent="0.15">
      <c r="C81" s="209"/>
      <c r="O81" s="209"/>
    </row>
    <row r="82" spans="3:15" x14ac:dyDescent="0.15">
      <c r="C82" s="209"/>
      <c r="O82" s="209"/>
    </row>
  </sheetData>
  <sheetProtection algorithmName="SHA-512" hashValue="BQhJG+1yCOS3EA9BVoNUkfNZHI9wyYfm+GdmeMvlLVqKHqXvdfa1cH0a4+h/oUddGEL3Pt3Wk18yVdlotaamAA==" saltValue="Qoa2HY7TLupoyQo9IShX+w==" spinCount="100000" sheet="1" objects="1" scenarios="1"/>
  <mergeCells count="2">
    <mergeCell ref="AS2:AS8"/>
    <mergeCell ref="BC2:BC8"/>
  </mergeCells>
  <pageMargins left="0.75000000000000011" right="0.75000000000000011" top="1" bottom="1" header="0.49" footer="0.49"/>
  <pageSetup paperSize="5" orientation="landscape"/>
  <headerFooter>
    <oddFooter>&amp;C&amp;K000000Budget et indicateurs de performance (430-763-Me)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E9742-3322-5B4A-9033-FA3B994BFAB2}">
  <sheetPr>
    <tabColor theme="1"/>
    <pageSetUpPr fitToPage="1"/>
  </sheetPr>
  <dimension ref="B1:BQ42"/>
  <sheetViews>
    <sheetView zoomScale="125" zoomScaleNormal="125" zoomScalePageLayoutView="125" workbookViewId="0">
      <pane xSplit="3" ySplit="9" topLeftCell="D10" activePane="bottomRight" state="frozen"/>
      <selection pane="topRight" activeCell="D1" sqref="D1"/>
      <selection pane="bottomLeft" activeCell="A11" sqref="A11"/>
      <selection pane="bottomRight"/>
    </sheetView>
  </sheetViews>
  <sheetFormatPr baseColWidth="10" defaultRowHeight="13" x14ac:dyDescent="0.15"/>
  <cols>
    <col min="1" max="1" width="1.83203125" style="161" customWidth="1"/>
    <col min="2" max="2" width="10.83203125" style="161" customWidth="1"/>
    <col min="3" max="3" width="57.6640625" style="161" customWidth="1"/>
    <col min="4" max="4" width="0.83203125" style="161" customWidth="1"/>
    <col min="5" max="5" width="15.6640625" style="161" bestFit="1" customWidth="1"/>
    <col min="6" max="6" width="8.33203125" style="161" customWidth="1"/>
    <col min="7" max="7" width="0.83203125" style="161" customWidth="1"/>
    <col min="8" max="8" width="15.6640625" style="161" bestFit="1" customWidth="1"/>
    <col min="9" max="9" width="8.1640625" style="161" customWidth="1"/>
    <col min="10" max="10" width="0.83203125" style="161" customWidth="1"/>
    <col min="11" max="11" width="15.6640625" style="161" bestFit="1" customWidth="1"/>
    <col min="12" max="12" width="8.1640625" style="161" bestFit="1" customWidth="1"/>
    <col min="13" max="13" width="0.83203125" style="161" customWidth="1"/>
    <col min="14" max="14" width="15.6640625" style="161" bestFit="1" customWidth="1"/>
    <col min="15" max="15" width="8.1640625" style="161" bestFit="1" customWidth="1"/>
    <col min="16" max="16" width="0.83203125" style="161" customWidth="1"/>
    <col min="17" max="17" width="14.6640625" style="161" bestFit="1" customWidth="1"/>
    <col min="18" max="18" width="8.1640625" style="161" bestFit="1" customWidth="1"/>
    <col min="19" max="19" width="0.83203125" style="161" customWidth="1"/>
    <col min="20" max="20" width="15.6640625" style="161" bestFit="1" customWidth="1"/>
    <col min="21" max="21" width="8.1640625" style="161" bestFit="1" customWidth="1"/>
    <col min="22" max="22" width="0.83203125" style="161" customWidth="1"/>
    <col min="23" max="23" width="15.6640625" style="161" bestFit="1" customWidth="1"/>
    <col min="24" max="24" width="8.1640625" style="161" bestFit="1" customWidth="1"/>
    <col min="25" max="25" width="0.83203125" style="161" customWidth="1"/>
    <col min="26" max="26" width="15.6640625" style="161" bestFit="1" customWidth="1"/>
    <col min="27" max="27" width="8.1640625" style="161" bestFit="1" customWidth="1"/>
    <col min="28" max="28" width="0.83203125" style="161" customWidth="1"/>
    <col min="29" max="29" width="15.6640625" style="161" bestFit="1" customWidth="1"/>
    <col min="30" max="30" width="8.1640625" style="161" bestFit="1" customWidth="1"/>
    <col min="31" max="31" width="0.83203125" style="161" customWidth="1"/>
    <col min="32" max="32" width="15.6640625" style="161" bestFit="1" customWidth="1"/>
    <col min="33" max="33" width="8.1640625" style="161" bestFit="1" customWidth="1"/>
    <col min="34" max="34" width="0.83203125" style="161" customWidth="1"/>
    <col min="35" max="35" width="15.6640625" style="161" bestFit="1" customWidth="1"/>
    <col min="36" max="36" width="8.1640625" style="161" bestFit="1" customWidth="1"/>
    <col min="37" max="37" width="0.83203125" style="161" customWidth="1"/>
    <col min="38" max="38" width="15.6640625" style="161" bestFit="1" customWidth="1"/>
    <col min="39" max="39" width="8.1640625" style="161" bestFit="1" customWidth="1"/>
    <col min="40" max="41" width="0.83203125" style="161" customWidth="1"/>
    <col min="42" max="42" width="15.6640625" style="161" bestFit="1" customWidth="1"/>
    <col min="43" max="43" width="8.1640625" style="161" customWidth="1"/>
    <col min="44" max="44" width="3.1640625" style="161" customWidth="1"/>
    <col min="45" max="45" width="8.5" style="161" bestFit="1" customWidth="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55" width="8.5" style="161" bestFit="1" customWidth="1"/>
    <col min="56" max="16384" width="10.83203125" style="161"/>
  </cols>
  <sheetData>
    <row r="1" spans="2:55" ht="14" thickBot="1" x14ac:dyDescent="0.2"/>
    <row r="2" spans="2:55" ht="20" customHeight="1" thickTop="1" x14ac:dyDescent="0.2">
      <c r="B2" s="1400" t="str">
        <f>'État des Résultats'!C2</f>
        <v>Les Multiples Plaisirs gourmands</v>
      </c>
      <c r="C2" s="1401"/>
      <c r="AS2" s="1388" t="s">
        <v>42</v>
      </c>
      <c r="AT2" s="366"/>
      <c r="AU2" s="366"/>
      <c r="AV2" s="366"/>
      <c r="AW2" s="366"/>
      <c r="AX2" s="366"/>
      <c r="AY2" s="366"/>
      <c r="AZ2" s="366"/>
      <c r="BA2" s="366"/>
      <c r="BB2" s="366"/>
      <c r="BC2" s="1391" t="s">
        <v>43</v>
      </c>
    </row>
    <row r="3" spans="2:55" ht="20" customHeight="1" x14ac:dyDescent="0.2">
      <c r="B3" s="1402" t="str">
        <f>'État des Résultats'!C3</f>
        <v xml:space="preserve">États des résultats </v>
      </c>
      <c r="C3" s="1403"/>
      <c r="AS3" s="1389"/>
      <c r="AT3" s="367"/>
      <c r="AU3" s="367"/>
      <c r="AV3" s="367"/>
      <c r="AW3" s="367"/>
      <c r="AX3" s="367"/>
      <c r="AY3" s="367"/>
      <c r="AZ3" s="367"/>
      <c r="BA3" s="367"/>
      <c r="BB3" s="367"/>
      <c r="BC3" s="1392"/>
    </row>
    <row r="4" spans="2:55" ht="20" customHeight="1" thickBot="1" x14ac:dyDescent="0.3">
      <c r="B4" s="1404" t="str">
        <f>'État des Résultats'!C4</f>
        <v>Pour la période du 1er janvier 2021 au 31 décembre 2021</v>
      </c>
      <c r="C4" s="1405"/>
      <c r="AS4" s="1389"/>
      <c r="AT4" s="368" t="str">
        <f>'Formule pour le calcul D'!BA103</f>
        <v>Coût annuel</v>
      </c>
      <c r="AU4" s="368" t="s">
        <v>44</v>
      </c>
      <c r="AV4" s="368" t="str">
        <f>'Formule pour le calcul D'!BC103</f>
        <v>Achalandage annuelle</v>
      </c>
      <c r="AW4" s="368" t="s">
        <v>45</v>
      </c>
      <c r="AX4" s="368" t="s">
        <v>46</v>
      </c>
      <c r="AY4" s="368" t="str">
        <f>'Formule pour le calcul D'!BF103</f>
        <v>Um/A</v>
      </c>
      <c r="AZ4" s="368" t="s">
        <v>45</v>
      </c>
      <c r="BA4" s="368" t="str">
        <f>'Formule pour le calcul D'!BH103</f>
        <v>CmO</v>
      </c>
      <c r="BB4" s="368" t="s">
        <v>49</v>
      </c>
      <c r="BC4" s="1392"/>
    </row>
    <row r="5" spans="2:55" ht="21" thickTop="1" thickBot="1" x14ac:dyDescent="0.3">
      <c r="AS5" s="1389"/>
      <c r="AT5" s="369" t="s">
        <v>2</v>
      </c>
      <c r="AU5" s="370"/>
      <c r="AV5" s="369"/>
      <c r="AW5" s="370"/>
      <c r="AX5" s="370"/>
      <c r="AY5" s="370"/>
      <c r="AZ5" s="370"/>
      <c r="BA5" s="370"/>
      <c r="BB5" s="370"/>
      <c r="BC5" s="1392"/>
    </row>
    <row r="6" spans="2:55" ht="27" thickTop="1" x14ac:dyDescent="0.3">
      <c r="B6" s="1406" t="str">
        <f>'État des Résultats'!C6</f>
        <v>Nb de places</v>
      </c>
      <c r="C6" s="1407"/>
      <c r="E6" s="578" t="str">
        <f>'Coût marchandises vendues'!D6</f>
        <v>Coût / place / jour</v>
      </c>
      <c r="F6" s="530">
        <f>E38/$B$7/'Calendrier 2021'!D8</f>
        <v>30.352002867383515</v>
      </c>
      <c r="G6" s="170"/>
      <c r="H6" s="578" t="str">
        <f>+E6</f>
        <v>Coût / place / jour</v>
      </c>
      <c r="I6" s="530">
        <f>H38/$B$7/'Calendrier 2021'!E8</f>
        <v>32.69552371031746</v>
      </c>
      <c r="J6" s="170"/>
      <c r="K6" s="578" t="str">
        <f>+H6</f>
        <v>Coût / place / jour</v>
      </c>
      <c r="L6" s="530">
        <f>K38/$B$7/'Calendrier 2021'!F8</f>
        <v>32.491075000000002</v>
      </c>
      <c r="M6" s="170"/>
      <c r="N6" s="578" t="str">
        <f>+K6</f>
        <v>Coût / place / jour</v>
      </c>
      <c r="O6" s="530">
        <f>N38/$B$7/'Calendrier 2021'!G8</f>
        <v>35.050830394722226</v>
      </c>
      <c r="P6" s="422"/>
      <c r="Q6" s="421" t="str">
        <f>+N6</f>
        <v>Coût / place / jour</v>
      </c>
      <c r="R6" s="530">
        <f>Q38/$B$7/'Calendrier 2021'!H8</f>
        <v>36.241168802867385</v>
      </c>
      <c r="S6" s="422"/>
      <c r="T6" s="578" t="str">
        <f>+Q6</f>
        <v>Coût / place / jour</v>
      </c>
      <c r="U6" s="530">
        <f>T38/$B$7/'Calendrier 2021'!I8</f>
        <v>38.381492382592597</v>
      </c>
      <c r="V6" s="170"/>
      <c r="W6" s="578" t="str">
        <f>+T6</f>
        <v>Coût / place / jour</v>
      </c>
      <c r="X6" s="530">
        <f>W38/$B$7/'Calendrier 2021'!J8</f>
        <v>39.626124974731198</v>
      </c>
      <c r="Y6" s="587"/>
      <c r="Z6" s="578" t="str">
        <f>+W6</f>
        <v>Coût / place / jour</v>
      </c>
      <c r="AA6" s="530">
        <f>Z38/$B$7/'Calendrier 2021'!K8</f>
        <v>40.101046556989253</v>
      </c>
      <c r="AB6" s="170"/>
      <c r="AC6" s="578" t="str">
        <f>+Z6</f>
        <v>Coût / place / jour</v>
      </c>
      <c r="AD6" s="530">
        <f>AC38/$B$7/'Calendrier 2021'!L8</f>
        <v>38.212804412222226</v>
      </c>
      <c r="AE6" s="170"/>
      <c r="AF6" s="578" t="str">
        <f>+AC6</f>
        <v>Coût / place / jour</v>
      </c>
      <c r="AG6" s="530">
        <f>AF38/$B$7/'Calendrier 2021'!M8</f>
        <v>38.17230360878137</v>
      </c>
      <c r="AH6" s="170"/>
      <c r="AI6" s="578" t="str">
        <f>+AF6</f>
        <v>Coût / place / jour</v>
      </c>
      <c r="AJ6" s="530">
        <f>AI38/$B$7/'Calendrier 2021'!N8</f>
        <v>36.929677424629624</v>
      </c>
      <c r="AK6" s="423"/>
      <c r="AL6" s="578" t="str">
        <f>+AI6</f>
        <v>Coût / place / jour</v>
      </c>
      <c r="AM6" s="530">
        <f>AL38/$B$7/'Calendrier 2021'!O8</f>
        <v>39.311246848387093</v>
      </c>
      <c r="AN6" s="170"/>
      <c r="AO6" s="170"/>
      <c r="AP6" s="529" t="str">
        <f>+AL6</f>
        <v>Coût / place / jour</v>
      </c>
      <c r="AQ6" s="530">
        <f>AP38/$B$7/'% Occupation'!P8</f>
        <v>36.487295426704719</v>
      </c>
      <c r="AS6" s="1389"/>
      <c r="AT6" s="371" t="str">
        <f>'Formule pour le calcul D'!BA105</f>
        <v xml:space="preserve">C </v>
      </c>
      <c r="AU6" s="372"/>
      <c r="AV6" s="371" t="str">
        <f>'Formule pour le calcul D'!BC105</f>
        <v>A</v>
      </c>
      <c r="AW6" s="372"/>
      <c r="AX6" s="372"/>
      <c r="AY6" s="371" t="str">
        <f>AY4</f>
        <v>Um/A</v>
      </c>
      <c r="AZ6" s="372"/>
      <c r="BA6" s="371" t="str">
        <f>BA4</f>
        <v>CmO</v>
      </c>
      <c r="BB6" s="372"/>
      <c r="BC6" s="1392"/>
    </row>
    <row r="7" spans="2:55" ht="21" x14ac:dyDescent="0.25">
      <c r="B7" s="1408">
        <f>'État des Résultats'!C7</f>
        <v>30</v>
      </c>
      <c r="C7" s="1409"/>
      <c r="E7" s="579">
        <f>+E38/$AP$38</f>
        <v>7.0650381434818957E-2</v>
      </c>
      <c r="F7" s="580"/>
      <c r="G7" s="382"/>
      <c r="H7" s="579">
        <f>+H38/$AP$38</f>
        <v>6.8740358383577407E-2</v>
      </c>
      <c r="I7" s="580"/>
      <c r="J7" s="382"/>
      <c r="K7" s="579">
        <f>+K38/$AP$38</f>
        <v>7.5629501354722087E-2</v>
      </c>
      <c r="L7" s="580"/>
      <c r="M7" s="382"/>
      <c r="N7" s="579">
        <f>+N38/$AP$38</f>
        <v>7.8955980040129992E-2</v>
      </c>
      <c r="O7" s="580"/>
      <c r="P7" s="426"/>
      <c r="Q7" s="424">
        <f>+Q38/$AP$38</f>
        <v>8.4358597709468533E-2</v>
      </c>
      <c r="R7" s="425"/>
      <c r="S7" s="426"/>
      <c r="T7" s="579">
        <f>+T38/$AP$38</f>
        <v>8.6458674797236512E-2</v>
      </c>
      <c r="U7" s="580"/>
      <c r="V7" s="382"/>
      <c r="W7" s="579">
        <f>+W38/$AP$38</f>
        <v>9.2237762907469795E-2</v>
      </c>
      <c r="X7" s="580"/>
      <c r="Y7" s="588"/>
      <c r="Z7" s="579">
        <f>+Z38/$AP$38</f>
        <v>9.3343238255662264E-2</v>
      </c>
      <c r="AA7" s="580"/>
      <c r="AB7" s="382"/>
      <c r="AC7" s="579">
        <f>+AC38/$AP$38</f>
        <v>8.6078685967540244E-2</v>
      </c>
      <c r="AD7" s="580"/>
      <c r="AE7" s="382"/>
      <c r="AF7" s="579">
        <f>+AF38/$AP$38</f>
        <v>8.8853701747116501E-2</v>
      </c>
      <c r="AG7" s="580"/>
      <c r="AH7" s="382"/>
      <c r="AI7" s="579">
        <f>+AI38/$AP$38</f>
        <v>8.3188296562199129E-2</v>
      </c>
      <c r="AJ7" s="580"/>
      <c r="AK7" s="411"/>
      <c r="AL7" s="579">
        <f>+AL38/$AP$38</f>
        <v>9.1504820840058565E-2</v>
      </c>
      <c r="AM7" s="580"/>
      <c r="AN7" s="427">
        <f>+AN38/$AP$38</f>
        <v>0</v>
      </c>
      <c r="AO7" s="382"/>
      <c r="AP7" s="571">
        <f t="shared" ref="AP7" si="0">SUM(+$AL7+$AI7+$AF7+$AC7+$Z7+$W7+$T7+$Q7+$N7+$K7+$H7+$E7)</f>
        <v>1.0000000000000002</v>
      </c>
      <c r="AQ7" s="590"/>
      <c r="AS7" s="1389"/>
      <c r="AT7" s="630">
        <f>AP38</f>
        <v>399535.88492241671</v>
      </c>
      <c r="AU7" s="368" t="s">
        <v>44</v>
      </c>
      <c r="AV7" s="631">
        <f>'Formule pour le calcul D'!G106</f>
        <v>52000</v>
      </c>
      <c r="AW7" s="368" t="s">
        <v>45</v>
      </c>
      <c r="AX7" s="368" t="s">
        <v>46</v>
      </c>
      <c r="AY7" s="632">
        <f>'Formule pour le calcul D'!J106</f>
        <v>3.1499999999999995</v>
      </c>
      <c r="AZ7" s="368" t="s">
        <v>45</v>
      </c>
      <c r="BA7" s="633">
        <f>AT7/AV7/AY7</f>
        <v>2.439169016620371</v>
      </c>
      <c r="BB7" s="368" t="s">
        <v>49</v>
      </c>
      <c r="BC7" s="1392"/>
    </row>
    <row r="8" spans="2:55" ht="17" thickBot="1" x14ac:dyDescent="0.25">
      <c r="B8" s="1410" t="s">
        <v>195</v>
      </c>
      <c r="C8" s="1411"/>
      <c r="E8" s="581" t="str">
        <f>'État des Résultats'!E8</f>
        <v>Pér.01</v>
      </c>
      <c r="F8" s="582" t="str">
        <f>'État des Résultats'!F8</f>
        <v>(%)</v>
      </c>
      <c r="G8" s="187"/>
      <c r="H8" s="581" t="str">
        <f>'État des Résultats'!H8</f>
        <v>Pér.02</v>
      </c>
      <c r="I8" s="582" t="str">
        <f>F8</f>
        <v>(%)</v>
      </c>
      <c r="J8" s="187"/>
      <c r="K8" s="581" t="str">
        <f>'État des Résultats'!K8</f>
        <v>Pér.03</v>
      </c>
      <c r="L8" s="582" t="str">
        <f>I8</f>
        <v>(%)</v>
      </c>
      <c r="M8" s="187"/>
      <c r="N8" s="581" t="str">
        <f>'État des Résultats'!N8</f>
        <v>Pér.04</v>
      </c>
      <c r="O8" s="582" t="str">
        <f>L8</f>
        <v>(%)</v>
      </c>
      <c r="P8" s="429"/>
      <c r="Q8" s="428" t="str">
        <f>'État des Résultats'!Q8</f>
        <v>Pér.05</v>
      </c>
      <c r="R8" s="385" t="str">
        <f>O8</f>
        <v>(%)</v>
      </c>
      <c r="S8" s="429"/>
      <c r="T8" s="581" t="str">
        <f>'État des Résultats'!T8</f>
        <v>Pér.06</v>
      </c>
      <c r="U8" s="582" t="str">
        <f>R8</f>
        <v>(%)</v>
      </c>
      <c r="V8" s="187"/>
      <c r="W8" s="581" t="str">
        <f>'État des Résultats'!W8</f>
        <v>Pér.07</v>
      </c>
      <c r="X8" s="582" t="str">
        <f>U8</f>
        <v>(%)</v>
      </c>
      <c r="Y8" s="589"/>
      <c r="Z8" s="581" t="str">
        <f>'État des Résultats'!Z8</f>
        <v>Pér.08</v>
      </c>
      <c r="AA8" s="582" t="str">
        <f>X8</f>
        <v>(%)</v>
      </c>
      <c r="AB8" s="187"/>
      <c r="AC8" s="581" t="str">
        <f>'État des Résultats'!AC8</f>
        <v>Pér.09</v>
      </c>
      <c r="AD8" s="582" t="str">
        <f>AA8</f>
        <v>(%)</v>
      </c>
      <c r="AE8" s="187"/>
      <c r="AF8" s="581" t="str">
        <f>'État des Résultats'!AF8</f>
        <v>Pér.10</v>
      </c>
      <c r="AG8" s="582" t="str">
        <f>AD8</f>
        <v>(%)</v>
      </c>
      <c r="AH8" s="187"/>
      <c r="AI8" s="581" t="str">
        <f>'État des Résultats'!AI8</f>
        <v>Pér.11</v>
      </c>
      <c r="AJ8" s="582" t="str">
        <f>AG8</f>
        <v>(%)</v>
      </c>
      <c r="AK8" s="430"/>
      <c r="AL8" s="581" t="str">
        <f>'État des Résultats'!AL8</f>
        <v>Pér.12</v>
      </c>
      <c r="AM8" s="582" t="str">
        <f>AJ8</f>
        <v>(%)</v>
      </c>
      <c r="AN8" s="187"/>
      <c r="AO8" s="187"/>
      <c r="AP8" s="591" t="str">
        <f>'État des Résultats'!AP8</f>
        <v>Total</v>
      </c>
      <c r="AQ8" s="582" t="str">
        <f>AM8</f>
        <v>(%)</v>
      </c>
      <c r="AS8" s="1390"/>
      <c r="AT8" s="373"/>
      <c r="AU8" s="373"/>
      <c r="AV8" s="373"/>
      <c r="AW8" s="373"/>
      <c r="AX8" s="373"/>
      <c r="AY8" s="373"/>
      <c r="AZ8" s="373"/>
      <c r="BA8" s="373"/>
      <c r="BB8" s="373"/>
      <c r="BC8" s="1393"/>
    </row>
    <row r="9" spans="2:55" ht="15" thickTop="1" thickBot="1" x14ac:dyDescent="0.2">
      <c r="B9" s="1394">
        <f>AP38/B7</f>
        <v>13317.862830747223</v>
      </c>
      <c r="C9" s="1395"/>
      <c r="D9" s="251"/>
      <c r="E9" s="583" t="str">
        <f>'État des Résultats'!E9</f>
        <v>Janvier 2021</v>
      </c>
      <c r="F9" s="584"/>
      <c r="G9" s="388"/>
      <c r="H9" s="583" t="str">
        <f>'État des Résultats'!H9</f>
        <v>Février 2021</v>
      </c>
      <c r="I9" s="585"/>
      <c r="J9" s="388"/>
      <c r="K9" s="583" t="str">
        <f>'État des Résultats'!K9</f>
        <v>Mars 2021</v>
      </c>
      <c r="L9" s="585"/>
      <c r="M9" s="388"/>
      <c r="N9" s="583" t="str">
        <f>'État des Résultats'!N9</f>
        <v>Avril 2021</v>
      </c>
      <c r="O9" s="586"/>
      <c r="P9" s="433"/>
      <c r="Q9" s="431" t="str">
        <f>'État des Résultats'!Q9</f>
        <v>Mai 2021</v>
      </c>
      <c r="R9" s="432"/>
      <c r="S9" s="433"/>
      <c r="T9" s="583" t="str">
        <f>'État des Résultats'!T9</f>
        <v>Juin 2021</v>
      </c>
      <c r="U9" s="585"/>
      <c r="V9" s="388"/>
      <c r="W9" s="583" t="str">
        <f>'État des Résultats'!W9</f>
        <v>Juillet 2021</v>
      </c>
      <c r="X9" s="585"/>
      <c r="Y9" s="589"/>
      <c r="Z9" s="583" t="str">
        <f>'État des Résultats'!Z9</f>
        <v>Août 2021</v>
      </c>
      <c r="AA9" s="585"/>
      <c r="AB9" s="388"/>
      <c r="AC9" s="583" t="str">
        <f>'État des Résultats'!AC9</f>
        <v>Septembre 2021</v>
      </c>
      <c r="AD9" s="585"/>
      <c r="AE9" s="388"/>
      <c r="AF9" s="583" t="str">
        <f>'État des Résultats'!AF9</f>
        <v>Octobre 2021</v>
      </c>
      <c r="AG9" s="585"/>
      <c r="AH9" s="388"/>
      <c r="AI9" s="583" t="str">
        <f>'État des Résultats'!AI9</f>
        <v>Novembre 2021</v>
      </c>
      <c r="AJ9" s="585"/>
      <c r="AK9" s="434"/>
      <c r="AL9" s="583" t="str">
        <f>'État des Résultats'!AL9</f>
        <v>Décembre 2021</v>
      </c>
      <c r="AM9" s="585"/>
      <c r="AN9" s="388"/>
      <c r="AO9" s="388"/>
      <c r="AP9" s="592" t="str">
        <f>'État des Résultats'!AP9</f>
        <v>Année</v>
      </c>
      <c r="AQ9" s="593"/>
    </row>
    <row r="10" spans="2:55" ht="15" thickTop="1" thickBot="1" x14ac:dyDescent="0.2">
      <c r="B10" s="435"/>
      <c r="C10" s="436"/>
      <c r="D10" s="327"/>
      <c r="E10" s="437"/>
      <c r="F10" s="438"/>
      <c r="G10" s="390"/>
      <c r="H10" s="437"/>
      <c r="I10" s="437"/>
      <c r="J10" s="390"/>
      <c r="K10" s="437"/>
      <c r="L10" s="437"/>
      <c r="M10" s="390"/>
      <c r="N10" s="437"/>
      <c r="O10" s="437"/>
      <c r="P10" s="437"/>
      <c r="Q10" s="437"/>
      <c r="R10" s="437"/>
      <c r="S10" s="437"/>
      <c r="T10" s="437"/>
      <c r="U10" s="437"/>
      <c r="V10" s="390"/>
      <c r="W10" s="437"/>
      <c r="X10" s="437"/>
      <c r="Y10" s="386"/>
      <c r="Z10" s="437"/>
      <c r="AA10" s="437"/>
      <c r="AB10" s="390"/>
      <c r="AC10" s="437"/>
      <c r="AD10" s="437"/>
      <c r="AE10" s="390"/>
      <c r="AF10" s="437"/>
      <c r="AG10" s="437"/>
      <c r="AH10" s="390"/>
      <c r="AI10" s="437"/>
      <c r="AJ10" s="437"/>
      <c r="AK10" s="390"/>
      <c r="AL10" s="437"/>
      <c r="AM10" s="437"/>
      <c r="AN10" s="390"/>
      <c r="AO10" s="390"/>
      <c r="AP10" s="439"/>
      <c r="AQ10" s="438"/>
    </row>
    <row r="11" spans="2:55" ht="14" thickTop="1" x14ac:dyDescent="0.15">
      <c r="B11" s="440">
        <v>6100</v>
      </c>
      <c r="C11" s="441" t="s">
        <v>196</v>
      </c>
      <c r="D11" s="213"/>
      <c r="E11" s="442"/>
      <c r="F11" s="443"/>
      <c r="G11" s="213"/>
      <c r="H11" s="442"/>
      <c r="I11" s="443"/>
      <c r="J11" s="213"/>
      <c r="K11" s="442"/>
      <c r="L11" s="443"/>
      <c r="M11" s="213"/>
      <c r="N11" s="442"/>
      <c r="O11" s="443"/>
      <c r="P11" s="213"/>
      <c r="Q11" s="442"/>
      <c r="R11" s="443"/>
      <c r="S11" s="213"/>
      <c r="T11" s="442"/>
      <c r="U11" s="443"/>
      <c r="V11" s="213"/>
      <c r="W11" s="442"/>
      <c r="X11" s="443"/>
      <c r="Y11" s="213"/>
      <c r="Z11" s="442"/>
      <c r="AA11" s="443"/>
      <c r="AB11" s="213"/>
      <c r="AC11" s="442"/>
      <c r="AD11" s="443"/>
      <c r="AE11" s="213"/>
      <c r="AF11" s="442"/>
      <c r="AG11" s="443"/>
      <c r="AH11" s="213"/>
      <c r="AI11" s="442"/>
      <c r="AJ11" s="443"/>
      <c r="AK11" s="213"/>
      <c r="AL11" s="442"/>
      <c r="AM11" s="443"/>
      <c r="AN11" s="213"/>
      <c r="AO11" s="213"/>
      <c r="AP11" s="444"/>
      <c r="AQ11" s="445"/>
    </row>
    <row r="12" spans="2:55" x14ac:dyDescent="0.15">
      <c r="B12" s="417"/>
      <c r="C12" s="416"/>
      <c r="D12" s="418"/>
      <c r="E12" s="446"/>
      <c r="F12" s="447"/>
      <c r="G12" s="418"/>
      <c r="H12" s="446"/>
      <c r="I12" s="447"/>
      <c r="J12" s="418"/>
      <c r="K12" s="446"/>
      <c r="L12" s="447"/>
      <c r="M12" s="418"/>
      <c r="N12" s="446"/>
      <c r="O12" s="447"/>
      <c r="P12" s="418"/>
      <c r="Q12" s="446"/>
      <c r="R12" s="447"/>
      <c r="S12" s="418"/>
      <c r="T12" s="446"/>
      <c r="U12" s="447"/>
      <c r="V12" s="418"/>
      <c r="W12" s="446"/>
      <c r="X12" s="447"/>
      <c r="Y12" s="418"/>
      <c r="Z12" s="446"/>
      <c r="AA12" s="447"/>
      <c r="AB12" s="418"/>
      <c r="AC12" s="446"/>
      <c r="AD12" s="447"/>
      <c r="AE12" s="418"/>
      <c r="AF12" s="446"/>
      <c r="AG12" s="447"/>
      <c r="AH12" s="418"/>
      <c r="AI12" s="446"/>
      <c r="AJ12" s="447"/>
      <c r="AK12" s="418"/>
      <c r="AL12" s="446"/>
      <c r="AM12" s="447"/>
      <c r="AN12" s="418"/>
      <c r="AO12" s="418"/>
      <c r="AP12" s="464"/>
      <c r="AQ12" s="465"/>
      <c r="AR12" s="209"/>
    </row>
    <row r="13" spans="2:55" x14ac:dyDescent="0.15">
      <c r="B13" s="190">
        <v>6110</v>
      </c>
      <c r="C13" s="391" t="s">
        <v>197</v>
      </c>
      <c r="E13" s="798">
        <f>'Salaire (planification)'!E12</f>
        <v>500</v>
      </c>
      <c r="F13" s="462">
        <f>E13/'État des Résultats'!E$14</f>
        <v>6.8505663134819138E-3</v>
      </c>
      <c r="H13" s="798">
        <f>'Salaire (planification)'!H12</f>
        <v>500</v>
      </c>
      <c r="I13" s="462">
        <f>H13/'État des Résultats'!H$14</f>
        <v>7.0677205423297562E-3</v>
      </c>
      <c r="K13" s="798">
        <f>'Salaire (planification)'!K12</f>
        <v>500</v>
      </c>
      <c r="L13" s="462">
        <f>K13/'État des Résultats'!K$14</f>
        <v>6.3425617606951449E-3</v>
      </c>
      <c r="N13" s="798">
        <f>'Salaire (planification)'!N12</f>
        <v>500</v>
      </c>
      <c r="O13" s="462">
        <f>N13/'État des Résultats'!N$14</f>
        <v>6.0431711455982131E-3</v>
      </c>
      <c r="Q13" s="798">
        <f>'Salaire (planification)'!Q12</f>
        <v>500</v>
      </c>
      <c r="R13" s="462">
        <f>Q13/'État des Résultats'!Q$14</f>
        <v>5.6128649859004832E-3</v>
      </c>
      <c r="T13" s="798">
        <f>'Salaire (planification)'!T12</f>
        <v>500</v>
      </c>
      <c r="U13" s="462">
        <f>T13/'État des Résultats'!T$14</f>
        <v>5.461693122683354E-3</v>
      </c>
      <c r="W13" s="798">
        <f>'Salaire (planification)'!W12</f>
        <v>500</v>
      </c>
      <c r="X13" s="462">
        <f>W13/'État des Résultats'!W$14</f>
        <v>5.0848273785004637E-3</v>
      </c>
      <c r="Z13" s="798">
        <f>'Salaire (planification)'!Z12</f>
        <v>500</v>
      </c>
      <c r="AA13" s="462">
        <f>Z13/'État des Résultats'!Z$14</f>
        <v>5.0185858307656575E-3</v>
      </c>
      <c r="AC13" s="798">
        <f>'Salaire (planification)'!AC12</f>
        <v>500</v>
      </c>
      <c r="AD13" s="462">
        <f>AC13/'État des Résultats'!AC$14</f>
        <v>5.4884398637681407E-3</v>
      </c>
      <c r="AF13" s="798">
        <f>'Salaire (planification)'!AF12</f>
        <v>500</v>
      </c>
      <c r="AG13" s="462">
        <f>AF13/'État des Résultats'!AF$14</f>
        <v>5.2989322881059854E-3</v>
      </c>
      <c r="AI13" s="798">
        <f>'Salaire (planification)'!AI12</f>
        <v>500</v>
      </c>
      <c r="AJ13" s="462">
        <f>AI13/'État des Résultats'!AI$14</f>
        <v>5.7007958938155318E-3</v>
      </c>
      <c r="AL13" s="798">
        <f>'Salaire (planification)'!AL12</f>
        <v>500</v>
      </c>
      <c r="AM13" s="462">
        <f>AL13/'État des Résultats'!AL$14</f>
        <v>5.1297187898418839E-3</v>
      </c>
      <c r="AP13" s="811">
        <f t="shared" ref="AP13:AP23" si="1">SUM(+$AL13+$AI13+$AF13+$AC13+$Z13+$W13+$T13+$Q13+$N13+$K13+$H13+$E13)</f>
        <v>6000</v>
      </c>
      <c r="AQ13" s="466">
        <f>AP13/'État des Résultats'!$AP$14</f>
        <v>5.6897492441608695E-3</v>
      </c>
    </row>
    <row r="14" spans="2:55" x14ac:dyDescent="0.15">
      <c r="B14" s="190">
        <v>6120</v>
      </c>
      <c r="C14" s="391" t="s">
        <v>198</v>
      </c>
      <c r="E14" s="799">
        <f>'Salaire (planification)'!E18</f>
        <v>12407.733333333335</v>
      </c>
      <c r="F14" s="462">
        <f>E14/'État des Résultats'!E$14</f>
        <v>0.17</v>
      </c>
      <c r="G14" s="448">
        <v>2.6770411418212836E-6</v>
      </c>
      <c r="H14" s="799">
        <f>'Salaire (planification)'!H18</f>
        <v>12026.508333333335</v>
      </c>
      <c r="I14" s="462">
        <f>H14/'État des Résultats'!H$14</f>
        <v>0.17</v>
      </c>
      <c r="K14" s="799">
        <f>'Salaire (planification)'!K18</f>
        <v>13401.525000000001</v>
      </c>
      <c r="L14" s="462">
        <f>K14/'État des Résultats'!K$14</f>
        <v>0.17</v>
      </c>
      <c r="N14" s="799">
        <f>'Salaire (planification)'!N18</f>
        <v>14065.462975000002</v>
      </c>
      <c r="O14" s="462">
        <f>N14/'État des Résultats'!N$14</f>
        <v>0.17</v>
      </c>
      <c r="Q14" s="799">
        <f>'Salaire (planification)'!Q18</f>
        <v>15143.781333333334</v>
      </c>
      <c r="R14" s="462">
        <f>Q14/'État des Résultats'!Q$14</f>
        <v>0.17</v>
      </c>
      <c r="T14" s="799">
        <f>'Salaire (planification)'!T18</f>
        <v>15562.939566666668</v>
      </c>
      <c r="U14" s="462">
        <f>T14/'État des Résultats'!T$14</f>
        <v>0.17</v>
      </c>
      <c r="W14" s="799">
        <f>'Salaire (planification)'!W18</f>
        <v>16716.398350000003</v>
      </c>
      <c r="X14" s="462">
        <f>W14/'État des Résultats'!W$14</f>
        <v>0.17</v>
      </c>
      <c r="Z14" s="799">
        <f>'Salaire (planification)'!Z18</f>
        <v>16937.042200000004</v>
      </c>
      <c r="AA14" s="462">
        <f>Z14/'État des Résultats'!Z$14</f>
        <v>0.17000000000000004</v>
      </c>
      <c r="AC14" s="799">
        <f>'Salaire (planification)'!AC18</f>
        <v>15487.096900000002</v>
      </c>
      <c r="AD14" s="462">
        <f>AC14/'État des Résultats'!AC$14</f>
        <v>0.17</v>
      </c>
      <c r="AF14" s="799">
        <f>'Salaire (planification)'!AF18</f>
        <v>16040.967383333336</v>
      </c>
      <c r="AG14" s="462">
        <f>AF14/'État des Résultats'!AF$14</f>
        <v>0.17</v>
      </c>
      <c r="AI14" s="799">
        <f>'Salaire (planification)'!AI18</f>
        <v>14910.198783333335</v>
      </c>
      <c r="AJ14" s="462">
        <f>AI14/'État des Résultats'!AI$14</f>
        <v>0.17</v>
      </c>
      <c r="AL14" s="799">
        <f>'Salaire (planification)'!AL18</f>
        <v>16570.109100000001</v>
      </c>
      <c r="AM14" s="462">
        <f>AL14/'État des Résultats'!AL$14</f>
        <v>0.16999999999999998</v>
      </c>
      <c r="AP14" s="811">
        <f t="shared" si="1"/>
        <v>179269.76325833335</v>
      </c>
      <c r="AQ14" s="466">
        <f>AP14/'État des Résultats'!$AP$14</f>
        <v>0.17000000000000004</v>
      </c>
    </row>
    <row r="15" spans="2:55" x14ac:dyDescent="0.15">
      <c r="B15" s="190">
        <v>6130</v>
      </c>
      <c r="C15" s="391" t="s">
        <v>199</v>
      </c>
      <c r="E15" s="799">
        <f>'Salaire (planification)'!E24</f>
        <v>9488.2666666666682</v>
      </c>
      <c r="F15" s="462">
        <f>E15/'État des Résultats'!E$14</f>
        <v>0.13</v>
      </c>
      <c r="H15" s="799">
        <f>'Salaire (planification)'!H24</f>
        <v>9196.7416666666668</v>
      </c>
      <c r="I15" s="462">
        <f>H15/'État des Résultats'!H$14</f>
        <v>0.13</v>
      </c>
      <c r="K15" s="799">
        <f>'Salaire (planification)'!K24</f>
        <v>10248.225</v>
      </c>
      <c r="L15" s="462">
        <f>K15/'État des Résultats'!K$14</f>
        <v>0.13</v>
      </c>
      <c r="N15" s="799">
        <f>'Salaire (planification)'!N24</f>
        <v>10755.942275000001</v>
      </c>
      <c r="O15" s="462">
        <f>N15/'État des Résultats'!N$14</f>
        <v>0.13</v>
      </c>
      <c r="Q15" s="799">
        <f>'Salaire (planification)'!Q24</f>
        <v>11580.538666666667</v>
      </c>
      <c r="R15" s="462">
        <f>Q15/'État des Résultats'!Q$14</f>
        <v>0.13</v>
      </c>
      <c r="T15" s="799">
        <f>'Salaire (planification)'!T24</f>
        <v>11901.071433333334</v>
      </c>
      <c r="U15" s="462">
        <f>T15/'État des Résultats'!T$14</f>
        <v>0.13</v>
      </c>
      <c r="W15" s="799">
        <f>'Salaire (planification)'!W24</f>
        <v>12783.128150000002</v>
      </c>
      <c r="X15" s="462">
        <f>W15/'État des Résultats'!W$14</f>
        <v>0.13</v>
      </c>
      <c r="Z15" s="799">
        <f>'Salaire (planification)'!Z24</f>
        <v>12951.855800000001</v>
      </c>
      <c r="AA15" s="462">
        <f>Z15/'État des Résultats'!Z$14</f>
        <v>0.13</v>
      </c>
      <c r="AC15" s="799">
        <f>'Salaire (planification)'!AC24</f>
        <v>11843.074100000002</v>
      </c>
      <c r="AD15" s="462">
        <f>AC15/'État des Résultats'!AC$14</f>
        <v>0.13</v>
      </c>
      <c r="AF15" s="799">
        <f>'Salaire (planification)'!AF24</f>
        <v>12266.622116666669</v>
      </c>
      <c r="AG15" s="462">
        <f>AF15/'État des Résultats'!AF$14</f>
        <v>0.13</v>
      </c>
      <c r="AI15" s="799">
        <f>'Salaire (planification)'!AI24</f>
        <v>11401.916716666667</v>
      </c>
      <c r="AJ15" s="462">
        <f>AI15/'État des Résultats'!AI$14</f>
        <v>0.13</v>
      </c>
      <c r="AL15" s="799">
        <f>'Salaire (planification)'!AL24</f>
        <v>12671.259900000001</v>
      </c>
      <c r="AM15" s="462">
        <f>AL15/'État des Résultats'!AL$14</f>
        <v>0.13</v>
      </c>
      <c r="AP15" s="811">
        <f t="shared" si="1"/>
        <v>137088.64249166669</v>
      </c>
      <c r="AQ15" s="466">
        <f>AP15/'État des Résultats'!$AP$14</f>
        <v>0.13000000000000003</v>
      </c>
    </row>
    <row r="16" spans="2:55" x14ac:dyDescent="0.15">
      <c r="B16" s="190">
        <v>6140</v>
      </c>
      <c r="C16" s="391" t="s">
        <v>200</v>
      </c>
      <c r="E16" s="799">
        <f>'Salaire (planification)'!E30</f>
        <v>500</v>
      </c>
      <c r="F16" s="462">
        <f>E16/'État des Résultats'!E$14</f>
        <v>6.8505663134819138E-3</v>
      </c>
      <c r="H16" s="799">
        <f>'Salaire (planification)'!H30</f>
        <v>500</v>
      </c>
      <c r="I16" s="462">
        <f>H16/'État des Résultats'!H$14</f>
        <v>7.0677205423297562E-3</v>
      </c>
      <c r="K16" s="799">
        <f>'Salaire (planification)'!K30</f>
        <v>500</v>
      </c>
      <c r="L16" s="462">
        <f>K16/'État des Résultats'!K$14</f>
        <v>6.3425617606951449E-3</v>
      </c>
      <c r="N16" s="799">
        <f>'Salaire (planification)'!N30</f>
        <v>500</v>
      </c>
      <c r="O16" s="462">
        <f>N16/'État des Résultats'!N$14</f>
        <v>6.0431711455982131E-3</v>
      </c>
      <c r="Q16" s="799">
        <f>'Salaire (planification)'!Q30</f>
        <v>500</v>
      </c>
      <c r="R16" s="462">
        <f>Q16/'État des Résultats'!Q$14</f>
        <v>5.6128649859004832E-3</v>
      </c>
      <c r="T16" s="799">
        <f>'Salaire (planification)'!T30</f>
        <v>500</v>
      </c>
      <c r="U16" s="462">
        <f>T16/'État des Résultats'!T$14</f>
        <v>5.461693122683354E-3</v>
      </c>
      <c r="W16" s="799">
        <f>'Salaire (planification)'!W30</f>
        <v>500</v>
      </c>
      <c r="X16" s="462">
        <f>W16/'État des Résultats'!W$14</f>
        <v>5.0848273785004637E-3</v>
      </c>
      <c r="Z16" s="799">
        <f>'Salaire (planification)'!Z30</f>
        <v>500</v>
      </c>
      <c r="AA16" s="462">
        <f>Z16/'État des Résultats'!Z$14</f>
        <v>5.0185858307656575E-3</v>
      </c>
      <c r="AC16" s="799">
        <f>'Salaire (planification)'!AC30</f>
        <v>500</v>
      </c>
      <c r="AD16" s="462">
        <f>AC16/'État des Résultats'!AC$14</f>
        <v>5.4884398637681407E-3</v>
      </c>
      <c r="AF16" s="799">
        <f>'Salaire (planification)'!AF30</f>
        <v>500</v>
      </c>
      <c r="AG16" s="462">
        <f>AF16/'État des Résultats'!AF$14</f>
        <v>5.2989322881059854E-3</v>
      </c>
      <c r="AI16" s="799">
        <f>'Salaire (planification)'!AI30</f>
        <v>500</v>
      </c>
      <c r="AJ16" s="462">
        <f>AI16/'État des Résultats'!AI$14</f>
        <v>5.7007958938155318E-3</v>
      </c>
      <c r="AL16" s="799">
        <f>'Salaire (planification)'!AL30</f>
        <v>500</v>
      </c>
      <c r="AM16" s="462">
        <f>AL16/'État des Résultats'!AL$14</f>
        <v>5.1297187898418839E-3</v>
      </c>
      <c r="AP16" s="811">
        <f t="shared" si="1"/>
        <v>6000</v>
      </c>
      <c r="AQ16" s="466">
        <f>AP16/'État des Résultats'!$AP$14</f>
        <v>5.6897492441608695E-3</v>
      </c>
    </row>
    <row r="17" spans="2:69" x14ac:dyDescent="0.15">
      <c r="B17" s="190">
        <v>6150</v>
      </c>
      <c r="C17" s="391" t="s">
        <v>201</v>
      </c>
      <c r="E17" s="799">
        <f>'Salaire (planification)'!E36</f>
        <v>500</v>
      </c>
      <c r="F17" s="462">
        <f>E17/'État des Résultats'!E$14</f>
        <v>6.8505663134819138E-3</v>
      </c>
      <c r="H17" s="799">
        <f>'Salaire (planification)'!H36</f>
        <v>500</v>
      </c>
      <c r="I17" s="462">
        <f>H17/'État des Résultats'!H$14</f>
        <v>7.0677205423297562E-3</v>
      </c>
      <c r="K17" s="799">
        <f>'Salaire (planification)'!K36</f>
        <v>500</v>
      </c>
      <c r="L17" s="462">
        <f>K17/'État des Résultats'!K$14</f>
        <v>6.3425617606951449E-3</v>
      </c>
      <c r="N17" s="799">
        <f>'Salaire (planification)'!N36</f>
        <v>500</v>
      </c>
      <c r="O17" s="462">
        <f>N17/'État des Résultats'!N$14</f>
        <v>6.0431711455982131E-3</v>
      </c>
      <c r="Q17" s="799">
        <f>'Salaire (planification)'!Q36</f>
        <v>500</v>
      </c>
      <c r="R17" s="462">
        <f>Q17/'État des Résultats'!Q$14</f>
        <v>5.6128649859004832E-3</v>
      </c>
      <c r="T17" s="799">
        <f>'Salaire (planification)'!T36</f>
        <v>500</v>
      </c>
      <c r="U17" s="462">
        <f>T17/'État des Résultats'!T$14</f>
        <v>5.461693122683354E-3</v>
      </c>
      <c r="W17" s="799">
        <f>'Salaire (planification)'!W36</f>
        <v>500</v>
      </c>
      <c r="X17" s="462">
        <f>W17/'État des Résultats'!W$14</f>
        <v>5.0848273785004637E-3</v>
      </c>
      <c r="Z17" s="799">
        <f>'Salaire (planification)'!Z36</f>
        <v>500</v>
      </c>
      <c r="AA17" s="462">
        <f>Z17/'État des Résultats'!Z$14</f>
        <v>5.0185858307656575E-3</v>
      </c>
      <c r="AC17" s="799">
        <f>'Salaire (planification)'!AC36</f>
        <v>500</v>
      </c>
      <c r="AD17" s="462">
        <f>AC17/'État des Résultats'!AC$14</f>
        <v>5.4884398637681407E-3</v>
      </c>
      <c r="AF17" s="799">
        <f>'Salaire (planification)'!AF36</f>
        <v>500</v>
      </c>
      <c r="AG17" s="462">
        <f>AF17/'État des Résultats'!AF$14</f>
        <v>5.2989322881059854E-3</v>
      </c>
      <c r="AI17" s="799">
        <f>'Salaire (planification)'!AI36</f>
        <v>500</v>
      </c>
      <c r="AJ17" s="462">
        <f>AI17/'État des Résultats'!AI$14</f>
        <v>5.7007958938155318E-3</v>
      </c>
      <c r="AL17" s="799">
        <f>'Salaire (planification)'!AL36</f>
        <v>500</v>
      </c>
      <c r="AM17" s="462">
        <f>AL17/'État des Résultats'!AL$14</f>
        <v>5.1297187898418839E-3</v>
      </c>
      <c r="AP17" s="811">
        <f t="shared" si="1"/>
        <v>6000</v>
      </c>
      <c r="AQ17" s="466">
        <f>AP17/'État des Résultats'!$AP$14</f>
        <v>5.6897492441608695E-3</v>
      </c>
    </row>
    <row r="18" spans="2:69" x14ac:dyDescent="0.15">
      <c r="B18" s="190">
        <v>6160</v>
      </c>
      <c r="C18" s="391" t="s">
        <v>202</v>
      </c>
      <c r="E18" s="799">
        <f>'Salaire (planification)'!E42</f>
        <v>500</v>
      </c>
      <c r="F18" s="462">
        <f>E18/'État des Résultats'!E$14</f>
        <v>6.8505663134819138E-3</v>
      </c>
      <c r="H18" s="799">
        <f>'Salaire (planification)'!H42</f>
        <v>500</v>
      </c>
      <c r="I18" s="462">
        <f>H18/'État des Résultats'!H$14</f>
        <v>7.0677205423297562E-3</v>
      </c>
      <c r="K18" s="799">
        <f>'Salaire (planification)'!K42</f>
        <v>500</v>
      </c>
      <c r="L18" s="462">
        <f>K18/'État des Résultats'!K$14</f>
        <v>6.3425617606951449E-3</v>
      </c>
      <c r="N18" s="799">
        <f>'Salaire (planification)'!N42</f>
        <v>500</v>
      </c>
      <c r="O18" s="462">
        <f>N18/'État des Résultats'!N$14</f>
        <v>6.0431711455982131E-3</v>
      </c>
      <c r="Q18" s="799">
        <f>'Salaire (planification)'!Q42</f>
        <v>500</v>
      </c>
      <c r="R18" s="462">
        <f>Q18/'État des Résultats'!Q$14</f>
        <v>5.6128649859004832E-3</v>
      </c>
      <c r="T18" s="799">
        <f>'Salaire (planification)'!T42</f>
        <v>500</v>
      </c>
      <c r="U18" s="462">
        <f>T18/'État des Résultats'!T$14</f>
        <v>5.461693122683354E-3</v>
      </c>
      <c r="W18" s="799">
        <f>'Salaire (planification)'!W42</f>
        <v>500</v>
      </c>
      <c r="X18" s="462">
        <f>W18/'État des Résultats'!W$14</f>
        <v>5.0848273785004637E-3</v>
      </c>
      <c r="Z18" s="799">
        <f>'Salaire (planification)'!Z42</f>
        <v>500</v>
      </c>
      <c r="AA18" s="462">
        <f>Z18/'État des Résultats'!Z$14</f>
        <v>5.0185858307656575E-3</v>
      </c>
      <c r="AC18" s="799">
        <f>'Salaire (planification)'!AC42</f>
        <v>500</v>
      </c>
      <c r="AD18" s="462">
        <f>AC18/'État des Résultats'!AC$14</f>
        <v>5.4884398637681407E-3</v>
      </c>
      <c r="AF18" s="799">
        <f>'Salaire (planification)'!AF42</f>
        <v>500</v>
      </c>
      <c r="AG18" s="462">
        <f>AF18/'État des Résultats'!AF$14</f>
        <v>5.2989322881059854E-3</v>
      </c>
      <c r="AI18" s="799">
        <f>'Salaire (planification)'!AI42</f>
        <v>500</v>
      </c>
      <c r="AJ18" s="462">
        <f>AI18/'État des Résultats'!AI$14</f>
        <v>5.7007958938155318E-3</v>
      </c>
      <c r="AL18" s="799">
        <f>'Salaire (planification)'!AL42</f>
        <v>500</v>
      </c>
      <c r="AM18" s="462">
        <f>AL18/'État des Résultats'!AL$14</f>
        <v>5.1297187898418839E-3</v>
      </c>
      <c r="AP18" s="811">
        <f t="shared" si="1"/>
        <v>6000</v>
      </c>
      <c r="AQ18" s="466">
        <f>AP18/'État des Résultats'!$AP$14</f>
        <v>5.6897492441608695E-3</v>
      </c>
    </row>
    <row r="19" spans="2:69" x14ac:dyDescent="0.15">
      <c r="B19" s="190">
        <v>6170</v>
      </c>
      <c r="C19" s="391" t="s">
        <v>203</v>
      </c>
      <c r="E19" s="799">
        <f>'Salaire (planification)'!E48</f>
        <v>500</v>
      </c>
      <c r="F19" s="462">
        <f>E19/'État des Résultats'!E$14</f>
        <v>6.8505663134819138E-3</v>
      </c>
      <c r="H19" s="799">
        <f>'Salaire (planification)'!H48</f>
        <v>500</v>
      </c>
      <c r="I19" s="462">
        <f>H19/'État des Résultats'!H$14</f>
        <v>7.0677205423297562E-3</v>
      </c>
      <c r="K19" s="799">
        <f>'Salaire (planification)'!K48</f>
        <v>500</v>
      </c>
      <c r="L19" s="462">
        <f>K19/'État des Résultats'!K$14</f>
        <v>6.3425617606951449E-3</v>
      </c>
      <c r="N19" s="799">
        <f>'Salaire (planification)'!N48</f>
        <v>500</v>
      </c>
      <c r="O19" s="462">
        <f>N19/'État des Résultats'!N$14</f>
        <v>6.0431711455982131E-3</v>
      </c>
      <c r="Q19" s="799">
        <f>'Salaire (planification)'!Q48</f>
        <v>500</v>
      </c>
      <c r="R19" s="462">
        <f>Q19/'État des Résultats'!Q$14</f>
        <v>5.6128649859004832E-3</v>
      </c>
      <c r="T19" s="799">
        <f>'Salaire (planification)'!T48</f>
        <v>500</v>
      </c>
      <c r="U19" s="462">
        <f>T19/'État des Résultats'!T$14</f>
        <v>5.461693122683354E-3</v>
      </c>
      <c r="W19" s="799">
        <f>'Salaire (planification)'!W48</f>
        <v>500</v>
      </c>
      <c r="X19" s="462">
        <f>W19/'État des Résultats'!W$14</f>
        <v>5.0848273785004637E-3</v>
      </c>
      <c r="Z19" s="799">
        <f>'Salaire (planification)'!Z48</f>
        <v>500</v>
      </c>
      <c r="AA19" s="462">
        <f>Z19/'État des Résultats'!Z$14</f>
        <v>5.0185858307656575E-3</v>
      </c>
      <c r="AC19" s="799">
        <f>'Salaire (planification)'!AC48</f>
        <v>500</v>
      </c>
      <c r="AD19" s="462">
        <f>AC19/'État des Résultats'!AC$14</f>
        <v>5.4884398637681407E-3</v>
      </c>
      <c r="AF19" s="799">
        <f>'Salaire (planification)'!AF48</f>
        <v>500</v>
      </c>
      <c r="AG19" s="462">
        <f>AF19/'État des Résultats'!AF$14</f>
        <v>5.2989322881059854E-3</v>
      </c>
      <c r="AI19" s="799">
        <f>'Salaire (planification)'!AI48</f>
        <v>500</v>
      </c>
      <c r="AJ19" s="462">
        <f>AI19/'État des Résultats'!AI$14</f>
        <v>5.7007958938155318E-3</v>
      </c>
      <c r="AL19" s="799">
        <f>'Salaire (planification)'!AL48</f>
        <v>500</v>
      </c>
      <c r="AM19" s="462">
        <f>AL19/'État des Résultats'!AL$14</f>
        <v>5.1297187898418839E-3</v>
      </c>
      <c r="AP19" s="811">
        <f t="shared" si="1"/>
        <v>6000</v>
      </c>
      <c r="AQ19" s="466">
        <f>AP19/'État des Résultats'!$AP$14</f>
        <v>5.6897492441608695E-3</v>
      </c>
    </row>
    <row r="20" spans="2:69" x14ac:dyDescent="0.15">
      <c r="B20" s="190">
        <v>6180</v>
      </c>
      <c r="C20" s="391" t="s">
        <v>204</v>
      </c>
      <c r="E20" s="799">
        <f>'Salaire (planification)'!E54</f>
        <v>500</v>
      </c>
      <c r="F20" s="462">
        <f>E20/'État des Résultats'!E$14</f>
        <v>6.8505663134819138E-3</v>
      </c>
      <c r="H20" s="799">
        <f>'Salaire (planification)'!H54</f>
        <v>500</v>
      </c>
      <c r="I20" s="462">
        <f>H20/'État des Résultats'!H$14</f>
        <v>7.0677205423297562E-3</v>
      </c>
      <c r="K20" s="799">
        <f>'Salaire (planification)'!K54</f>
        <v>500</v>
      </c>
      <c r="L20" s="462">
        <f>K20/'État des Résultats'!K$14</f>
        <v>6.3425617606951449E-3</v>
      </c>
      <c r="N20" s="799">
        <f>'Salaire (planification)'!N54</f>
        <v>500</v>
      </c>
      <c r="O20" s="462">
        <f>N20/'État des Résultats'!N$14</f>
        <v>6.0431711455982131E-3</v>
      </c>
      <c r="Q20" s="799">
        <f>'Salaire (planification)'!Q54</f>
        <v>500</v>
      </c>
      <c r="R20" s="462">
        <f>Q20/'État des Résultats'!Q$14</f>
        <v>5.6128649859004832E-3</v>
      </c>
      <c r="T20" s="799">
        <f>'Salaire (planification)'!T54</f>
        <v>500</v>
      </c>
      <c r="U20" s="462">
        <f>T20/'État des Résultats'!T$14</f>
        <v>5.461693122683354E-3</v>
      </c>
      <c r="W20" s="799">
        <f>'Salaire (planification)'!W54</f>
        <v>500</v>
      </c>
      <c r="X20" s="462">
        <f>W20/'État des Résultats'!W$14</f>
        <v>5.0848273785004637E-3</v>
      </c>
      <c r="Z20" s="799">
        <f>'Salaire (planification)'!Z54</f>
        <v>500</v>
      </c>
      <c r="AA20" s="462">
        <f>Z20/'État des Résultats'!Z$14</f>
        <v>5.0185858307656575E-3</v>
      </c>
      <c r="AC20" s="799">
        <f>'Salaire (planification)'!AC54</f>
        <v>500</v>
      </c>
      <c r="AD20" s="462">
        <f>AC20/'État des Résultats'!AC$14</f>
        <v>5.4884398637681407E-3</v>
      </c>
      <c r="AF20" s="799">
        <f>'Salaire (planification)'!AF54</f>
        <v>500</v>
      </c>
      <c r="AG20" s="462">
        <f>AF20/'État des Résultats'!AF$14</f>
        <v>5.2989322881059854E-3</v>
      </c>
      <c r="AI20" s="799">
        <f>'Salaire (planification)'!AI54</f>
        <v>500</v>
      </c>
      <c r="AJ20" s="462">
        <f>AI20/'État des Résultats'!AI$14</f>
        <v>5.7007958938155318E-3</v>
      </c>
      <c r="AL20" s="799">
        <f>'Salaire (planification)'!AL54</f>
        <v>500</v>
      </c>
      <c r="AM20" s="462">
        <f>AL20/'État des Résultats'!AL$14</f>
        <v>5.1297187898418839E-3</v>
      </c>
      <c r="AP20" s="811">
        <f t="shared" si="1"/>
        <v>6000</v>
      </c>
      <c r="AQ20" s="466">
        <f>AP20/'État des Résultats'!$AP$14</f>
        <v>5.6897492441608695E-3</v>
      </c>
    </row>
    <row r="21" spans="2:69" x14ac:dyDescent="0.15">
      <c r="B21" s="190">
        <v>6190</v>
      </c>
      <c r="C21" s="391" t="s">
        <v>205</v>
      </c>
      <c r="E21" s="799">
        <f>'Salaire (planification)'!E60</f>
        <v>0</v>
      </c>
      <c r="F21" s="462">
        <f>E21/'État des Résultats'!E$14</f>
        <v>0</v>
      </c>
      <c r="H21" s="799">
        <f>'Salaire (planification)'!H60</f>
        <v>0</v>
      </c>
      <c r="I21" s="462">
        <f>H21/'État des Résultats'!H$14</f>
        <v>0</v>
      </c>
      <c r="K21" s="799">
        <f>'Salaire (planification)'!K60</f>
        <v>0</v>
      </c>
      <c r="L21" s="462">
        <f>K21/'État des Résultats'!K$14</f>
        <v>0</v>
      </c>
      <c r="N21" s="799">
        <f>'Salaire (planification)'!N60</f>
        <v>0</v>
      </c>
      <c r="O21" s="462">
        <f>N21/'État des Résultats'!N$14</f>
        <v>0</v>
      </c>
      <c r="Q21" s="799">
        <f>'Salaire (planification)'!Q60</f>
        <v>0</v>
      </c>
      <c r="R21" s="462">
        <f>Q21/'État des Résultats'!Q$14</f>
        <v>0</v>
      </c>
      <c r="T21" s="799">
        <f>'Salaire (planification)'!T60</f>
        <v>0</v>
      </c>
      <c r="U21" s="462">
        <f>T21/'État des Résultats'!T$14</f>
        <v>0</v>
      </c>
      <c r="W21" s="799">
        <f>'Salaire (planification)'!W60</f>
        <v>0</v>
      </c>
      <c r="X21" s="462">
        <f>W21/'État des Résultats'!W$14</f>
        <v>0</v>
      </c>
      <c r="Z21" s="799">
        <f>'Salaire (planification)'!Z60</f>
        <v>0</v>
      </c>
      <c r="AA21" s="462">
        <f>Z21/'État des Résultats'!Z$14</f>
        <v>0</v>
      </c>
      <c r="AC21" s="799">
        <f>'Salaire (planification)'!AC60</f>
        <v>0</v>
      </c>
      <c r="AD21" s="462">
        <f>AC21/'État des Résultats'!AC$14</f>
        <v>0</v>
      </c>
      <c r="AF21" s="799">
        <f>'Salaire (planification)'!AF60</f>
        <v>0</v>
      </c>
      <c r="AG21" s="462">
        <f>AF21/'État des Résultats'!AF$14</f>
        <v>0</v>
      </c>
      <c r="AI21" s="799">
        <f>'Salaire (planification)'!AI60</f>
        <v>0</v>
      </c>
      <c r="AJ21" s="462">
        <f>AI21/'État des Résultats'!AI$14</f>
        <v>0</v>
      </c>
      <c r="AL21" s="799">
        <f>'Salaire (planification)'!AL60</f>
        <v>0</v>
      </c>
      <c r="AM21" s="462">
        <f>AL21/'État des Résultats'!AL$14</f>
        <v>0</v>
      </c>
      <c r="AP21" s="811">
        <f t="shared" si="1"/>
        <v>0</v>
      </c>
      <c r="AQ21" s="466">
        <f>AP21/'État des Résultats'!$AP$14</f>
        <v>0</v>
      </c>
    </row>
    <row r="22" spans="2:69" x14ac:dyDescent="0.15">
      <c r="B22" s="190"/>
      <c r="C22" s="391"/>
      <c r="E22" s="799"/>
      <c r="F22" s="462"/>
      <c r="H22" s="799"/>
      <c r="I22" s="462"/>
      <c r="K22" s="799"/>
      <c r="L22" s="462"/>
      <c r="N22" s="799"/>
      <c r="O22" s="462"/>
      <c r="Q22" s="799"/>
      <c r="R22" s="462"/>
      <c r="T22" s="799"/>
      <c r="U22" s="462"/>
      <c r="W22" s="799"/>
      <c r="X22" s="462"/>
      <c r="Z22" s="799"/>
      <c r="AA22" s="462"/>
      <c r="AC22" s="799"/>
      <c r="AD22" s="462"/>
      <c r="AF22" s="799"/>
      <c r="AG22" s="462"/>
      <c r="AI22" s="799"/>
      <c r="AJ22" s="462"/>
      <c r="AL22" s="799"/>
      <c r="AM22" s="462"/>
      <c r="AP22" s="811"/>
      <c r="AQ22" s="466"/>
    </row>
    <row r="23" spans="2:69" ht="14" thickBot="1" x14ac:dyDescent="0.2">
      <c r="B23" s="449"/>
      <c r="C23" s="450" t="s">
        <v>206</v>
      </c>
      <c r="D23" s="213"/>
      <c r="E23" s="800">
        <f>SUM(E13:E21)</f>
        <v>24896.000000000004</v>
      </c>
      <c r="F23" s="463">
        <f>+SUM(F13:F21)</f>
        <v>0.3411033978808915</v>
      </c>
      <c r="G23" s="213"/>
      <c r="H23" s="800">
        <f>SUM(H13:H21)</f>
        <v>24223.25</v>
      </c>
      <c r="I23" s="463">
        <f>+SUM(I13:I21)</f>
        <v>0.34240632325397846</v>
      </c>
      <c r="J23" s="213"/>
      <c r="K23" s="800">
        <f>SUM(K13:K21)</f>
        <v>26649.75</v>
      </c>
      <c r="L23" s="463">
        <f>+SUM(L13:L21)</f>
        <v>0.3380553705641709</v>
      </c>
      <c r="M23" s="213"/>
      <c r="N23" s="800">
        <f>SUM(N13:N21)</f>
        <v>27821.405250000003</v>
      </c>
      <c r="O23" s="463">
        <f>+SUM(O13:O21)</f>
        <v>0.33625902687358927</v>
      </c>
      <c r="P23" s="213"/>
      <c r="Q23" s="800">
        <f>SUM(Q13:Q21)</f>
        <v>29724.32</v>
      </c>
      <c r="R23" s="463">
        <f>+SUM(R13:R21)</f>
        <v>0.33367718991540285</v>
      </c>
      <c r="S23" s="213"/>
      <c r="T23" s="800">
        <f>SUM(T13:T21)</f>
        <v>30464.011000000002</v>
      </c>
      <c r="U23" s="463">
        <f>+SUM(U13:U21)</f>
        <v>0.33277015873610011</v>
      </c>
      <c r="V23" s="213"/>
      <c r="W23" s="800">
        <f>SUM(W13:W21)</f>
        <v>32499.526500000007</v>
      </c>
      <c r="X23" s="463">
        <f>+SUM(X13:X21)</f>
        <v>0.33050896427100285</v>
      </c>
      <c r="Y23" s="213"/>
      <c r="Z23" s="800">
        <f>SUM(Z13:Z21)</f>
        <v>32888.898000000001</v>
      </c>
      <c r="AA23" s="463">
        <f>+SUM(AA13:AA21)</f>
        <v>0.3301115149845939</v>
      </c>
      <c r="AB23" s="213"/>
      <c r="AC23" s="800">
        <f>SUM(AC13:AC21)</f>
        <v>30330.171000000002</v>
      </c>
      <c r="AD23" s="463">
        <f>+SUM(AD13:AD21)</f>
        <v>0.33293063918260879</v>
      </c>
      <c r="AE23" s="213"/>
      <c r="AF23" s="800">
        <f>SUM(AF13:AF21)</f>
        <v>31307.589500000006</v>
      </c>
      <c r="AG23" s="463">
        <f>+SUM(AG13:AG21)</f>
        <v>0.33179359372863582</v>
      </c>
      <c r="AH23" s="213"/>
      <c r="AI23" s="800">
        <f>SUM(AI13:AI21)</f>
        <v>29312.1155</v>
      </c>
      <c r="AJ23" s="463">
        <f>+SUM(AJ13:AJ21)</f>
        <v>0.33420477536289334</v>
      </c>
      <c r="AK23" s="213"/>
      <c r="AL23" s="800">
        <f>SUM(AL13:AL21)</f>
        <v>32241.369000000002</v>
      </c>
      <c r="AM23" s="463">
        <f>+SUM(AM13:AM21)</f>
        <v>0.33077831273905117</v>
      </c>
      <c r="AN23" s="213"/>
      <c r="AO23" s="213"/>
      <c r="AP23" s="812">
        <f t="shared" si="1"/>
        <v>352358.40575000003</v>
      </c>
      <c r="AQ23" s="463">
        <f>+SUM(AQ13:AQ21)</f>
        <v>0.33413849546496532</v>
      </c>
      <c r="AR23" s="251"/>
    </row>
    <row r="24" spans="2:69" ht="15" thickTop="1" thickBot="1" x14ac:dyDescent="0.2">
      <c r="B24" s="474"/>
      <c r="C24" s="474"/>
      <c r="D24" s="474"/>
      <c r="E24" s="801"/>
      <c r="F24" s="512"/>
      <c r="G24" s="474"/>
      <c r="H24" s="801"/>
      <c r="I24" s="512"/>
      <c r="J24" s="474"/>
      <c r="K24" s="801"/>
      <c r="L24" s="512"/>
      <c r="M24" s="474"/>
      <c r="N24" s="801"/>
      <c r="O24" s="512"/>
      <c r="P24" s="474"/>
      <c r="Q24" s="801"/>
      <c r="R24" s="512"/>
      <c r="S24" s="474"/>
      <c r="T24" s="801"/>
      <c r="U24" s="512"/>
      <c r="V24" s="474"/>
      <c r="W24" s="801"/>
      <c r="X24" s="512"/>
      <c r="Y24" s="474"/>
      <c r="Z24" s="801"/>
      <c r="AA24" s="512"/>
      <c r="AB24" s="474"/>
      <c r="AC24" s="801"/>
      <c r="AD24" s="512"/>
      <c r="AE24" s="474"/>
      <c r="AF24" s="801"/>
      <c r="AG24" s="512"/>
      <c r="AH24" s="474"/>
      <c r="AI24" s="801"/>
      <c r="AJ24" s="512"/>
      <c r="AK24" s="474"/>
      <c r="AL24" s="801"/>
      <c r="AM24" s="512"/>
      <c r="AN24" s="474"/>
      <c r="AO24" s="474"/>
      <c r="AP24" s="813"/>
      <c r="AQ24" s="513"/>
    </row>
    <row r="25" spans="2:69" x14ac:dyDescent="0.15">
      <c r="B25" s="440">
        <v>6200</v>
      </c>
      <c r="C25" s="441" t="s">
        <v>207</v>
      </c>
      <c r="D25" s="213"/>
      <c r="E25" s="802"/>
      <c r="F25" s="451"/>
      <c r="G25" s="213"/>
      <c r="H25" s="802"/>
      <c r="I25" s="451"/>
      <c r="J25" s="213"/>
      <c r="K25" s="802"/>
      <c r="L25" s="451"/>
      <c r="M25" s="213"/>
      <c r="N25" s="802"/>
      <c r="O25" s="451"/>
      <c r="P25" s="213"/>
      <c r="Q25" s="802"/>
      <c r="R25" s="451"/>
      <c r="S25" s="213"/>
      <c r="T25" s="802"/>
      <c r="U25" s="451"/>
      <c r="V25" s="213"/>
      <c r="W25" s="802"/>
      <c r="X25" s="451"/>
      <c r="Y25" s="213"/>
      <c r="Z25" s="802"/>
      <c r="AA25" s="451"/>
      <c r="AB25" s="213"/>
      <c r="AC25" s="802"/>
      <c r="AD25" s="451"/>
      <c r="AE25" s="213"/>
      <c r="AF25" s="802"/>
      <c r="AG25" s="451"/>
      <c r="AH25" s="213"/>
      <c r="AI25" s="802"/>
      <c r="AJ25" s="451"/>
      <c r="AK25" s="213"/>
      <c r="AL25" s="802"/>
      <c r="AM25" s="451"/>
      <c r="AN25" s="213"/>
      <c r="AO25" s="213"/>
      <c r="AP25" s="814"/>
      <c r="AQ25" s="467"/>
      <c r="AR25" s="213"/>
      <c r="AS25" s="213"/>
      <c r="AT25" s="210"/>
      <c r="AU25" s="210"/>
      <c r="AV25" s="210"/>
      <c r="AW25" s="210"/>
      <c r="AX25" s="210"/>
      <c r="AY25" s="210"/>
      <c r="AZ25" s="210"/>
      <c r="BA25" s="210"/>
      <c r="BB25" s="210"/>
      <c r="BC25" s="210"/>
      <c r="BD25" s="210"/>
      <c r="BE25" s="210"/>
      <c r="BF25" s="210"/>
      <c r="BG25" s="210"/>
      <c r="BH25" s="210"/>
    </row>
    <row r="26" spans="2:69" x14ac:dyDescent="0.15">
      <c r="B26" s="417"/>
      <c r="C26" s="416"/>
      <c r="D26" s="418"/>
      <c r="E26" s="803"/>
      <c r="F26" s="452"/>
      <c r="G26" s="418"/>
      <c r="H26" s="803"/>
      <c r="I26" s="452"/>
      <c r="J26" s="418"/>
      <c r="K26" s="803"/>
      <c r="L26" s="452"/>
      <c r="M26" s="418"/>
      <c r="N26" s="803"/>
      <c r="O26" s="452"/>
      <c r="P26" s="418"/>
      <c r="Q26" s="803"/>
      <c r="R26" s="452"/>
      <c r="S26" s="418"/>
      <c r="T26" s="803"/>
      <c r="U26" s="452"/>
      <c r="V26" s="418"/>
      <c r="W26" s="803"/>
      <c r="X26" s="452"/>
      <c r="Y26" s="418"/>
      <c r="Z26" s="803"/>
      <c r="AA26" s="452"/>
      <c r="AB26" s="418"/>
      <c r="AC26" s="803"/>
      <c r="AD26" s="452"/>
      <c r="AE26" s="418"/>
      <c r="AF26" s="803"/>
      <c r="AG26" s="452"/>
      <c r="AH26" s="418"/>
      <c r="AI26" s="803"/>
      <c r="AJ26" s="452"/>
      <c r="AK26" s="418"/>
      <c r="AL26" s="803"/>
      <c r="AM26" s="452"/>
      <c r="AN26" s="418"/>
      <c r="AO26" s="418"/>
      <c r="AP26" s="815"/>
      <c r="AQ26" s="468"/>
      <c r="AR26" s="213"/>
      <c r="AS26" s="213"/>
      <c r="AT26" s="210"/>
      <c r="AU26" s="210"/>
      <c r="AV26" s="210"/>
      <c r="AW26" s="210"/>
      <c r="AX26" s="210"/>
      <c r="AY26" s="210"/>
      <c r="AZ26" s="210"/>
      <c r="BA26" s="210"/>
      <c r="BB26" s="210"/>
      <c r="BC26" s="210"/>
      <c r="BD26" s="210"/>
      <c r="BE26" s="210"/>
      <c r="BF26" s="210"/>
      <c r="BG26" s="210"/>
      <c r="BH26" s="210"/>
    </row>
    <row r="27" spans="2:69" x14ac:dyDescent="0.15">
      <c r="B27" s="190">
        <v>6205</v>
      </c>
      <c r="C27" s="391" t="s">
        <v>208</v>
      </c>
      <c r="E27" s="799">
        <f>'Salaire (planification)'!E67</f>
        <v>2833.4426666666668</v>
      </c>
      <c r="F27" s="462">
        <f>E27/'État des Résultats'!E$14</f>
        <v>3.8821373766898065E-2</v>
      </c>
      <c r="H27" s="799">
        <f>'Salaire (planification)'!H67</f>
        <v>2756.5249166666667</v>
      </c>
      <c r="I27" s="462">
        <f>H27/'État des Résultats'!H$14</f>
        <v>3.8964695557937634E-2</v>
      </c>
      <c r="K27" s="799">
        <f>'Salaire (planification)'!K67</f>
        <v>3033.9547499999999</v>
      </c>
      <c r="L27" s="462">
        <f>K27/'État des Résultats'!K$14</f>
        <v>3.8486090762058792E-2</v>
      </c>
      <c r="N27" s="799">
        <f>'Salaire (planification)'!N67</f>
        <v>3167.9140002500003</v>
      </c>
      <c r="O27" s="462">
        <f>N27/'État des Résultats'!N$14</f>
        <v>3.8288492956094822E-2</v>
      </c>
      <c r="Q27" s="799">
        <f>'Salaire (planification)'!Q67</f>
        <v>3385.4805866666666</v>
      </c>
      <c r="R27" s="462">
        <f>Q27/'État des Résultats'!Q$14</f>
        <v>3.8004490890694319E-2</v>
      </c>
      <c r="T27" s="799">
        <f>'Salaire (planification)'!T67</f>
        <v>3470.0519243333338</v>
      </c>
      <c r="U27" s="462">
        <f>T27/'État des Résultats'!T$14</f>
        <v>3.7904717460971016E-2</v>
      </c>
      <c r="W27" s="799">
        <f>'Salaire (planification)'!W67</f>
        <v>3702.7791965000006</v>
      </c>
      <c r="X27" s="462">
        <f>W27/'État des Résultats'!W$14</f>
        <v>3.7655986069810306E-2</v>
      </c>
      <c r="Z27" s="799">
        <f>'Salaire (planification)'!Z67</f>
        <v>3747.2973380000003</v>
      </c>
      <c r="AA27" s="462">
        <f>Z27/'État des Résultats'!Z$14</f>
        <v>3.7612266648305338E-2</v>
      </c>
      <c r="AC27" s="799">
        <f>'Salaire (planification)'!AC67</f>
        <v>3454.7495510000003</v>
      </c>
      <c r="AD27" s="462">
        <f>AC27/'État des Résultats'!AC$14</f>
        <v>3.7922370310086974E-2</v>
      </c>
      <c r="AF27" s="799">
        <f>'Salaire (planification)'!AF67</f>
        <v>3566.5010661666674</v>
      </c>
      <c r="AG27" s="462">
        <f>AF27/'État des Résultats'!AF$14</f>
        <v>3.7797295310149956E-2</v>
      </c>
      <c r="AI27" s="799">
        <f>'Salaire (planification)'!AI67</f>
        <v>3338.3518721666669</v>
      </c>
      <c r="AJ27" s="462">
        <f>AI27/'État des Résultats'!AI$14</f>
        <v>3.8062525289918256E-2</v>
      </c>
      <c r="AL27" s="799">
        <f>'Salaire (planification)'!AL67</f>
        <v>3673.2631890000002</v>
      </c>
      <c r="AM27" s="462">
        <f>AL27/'État des Résultats'!AL$14</f>
        <v>3.7685614401295642E-2</v>
      </c>
      <c r="AP27" s="811">
        <f t="shared" ref="AP27:AP35" si="2">SUM(+$AL27+$AI27+$AF27+$AC27+$Z27+$W27+$T27+$Q27+$N27+$K27+$H27+$E27)</f>
        <v>40130.311057416671</v>
      </c>
      <c r="AQ27" s="466">
        <f>+AP27/'État des Résultats'!$AP$14</f>
        <v>3.805523450114618E-2</v>
      </c>
    </row>
    <row r="28" spans="2:69" x14ac:dyDescent="0.15">
      <c r="B28" s="190">
        <v>6220</v>
      </c>
      <c r="C28" s="391" t="s">
        <v>226</v>
      </c>
      <c r="E28" s="804">
        <v>0</v>
      </c>
      <c r="F28" s="462">
        <f>E28/'État des Résultats'!E$14</f>
        <v>0</v>
      </c>
      <c r="H28" s="804">
        <v>0</v>
      </c>
      <c r="I28" s="462">
        <f>H28/'État des Résultats'!H$14</f>
        <v>0</v>
      </c>
      <c r="K28" s="804">
        <v>0</v>
      </c>
      <c r="L28" s="462">
        <f>K28/'État des Résultats'!K$14</f>
        <v>0</v>
      </c>
      <c r="N28" s="804">
        <v>0</v>
      </c>
      <c r="O28" s="462">
        <f>N28/'État des Résultats'!N$14</f>
        <v>0</v>
      </c>
      <c r="Q28" s="804">
        <v>0</v>
      </c>
      <c r="R28" s="462">
        <f>Q28/'État des Résultats'!Q$14</f>
        <v>0</v>
      </c>
      <c r="T28" s="804">
        <v>0</v>
      </c>
      <c r="U28" s="462">
        <f>T28/'État des Résultats'!T$14</f>
        <v>0</v>
      </c>
      <c r="W28" s="804">
        <v>0</v>
      </c>
      <c r="X28" s="462">
        <f>W28/'État des Résultats'!W$14</f>
        <v>0</v>
      </c>
      <c r="Z28" s="804">
        <v>0</v>
      </c>
      <c r="AA28" s="462">
        <f>Z28/'État des Résultats'!Z$14</f>
        <v>0</v>
      </c>
      <c r="AC28" s="804">
        <v>0</v>
      </c>
      <c r="AD28" s="462">
        <f>AC28/'État des Résultats'!AC$14</f>
        <v>0</v>
      </c>
      <c r="AF28" s="804">
        <v>0</v>
      </c>
      <c r="AG28" s="462">
        <f>AF28/'État des Résultats'!AF$14</f>
        <v>0</v>
      </c>
      <c r="AI28" s="804">
        <v>0</v>
      </c>
      <c r="AJ28" s="462">
        <f>AI28/'État des Résultats'!AI$14</f>
        <v>0</v>
      </c>
      <c r="AL28" s="804">
        <v>0</v>
      </c>
      <c r="AM28" s="462">
        <f>AL28/'État des Résultats'!AL$14</f>
        <v>0</v>
      </c>
      <c r="AP28" s="811">
        <f t="shared" si="2"/>
        <v>0</v>
      </c>
      <c r="AQ28" s="466">
        <f>+AP28/'État des Résultats'!$AP$14</f>
        <v>0</v>
      </c>
    </row>
    <row r="29" spans="2:69" x14ac:dyDescent="0.15">
      <c r="B29" s="190">
        <v>6230</v>
      </c>
      <c r="C29" s="391" t="s">
        <v>209</v>
      </c>
      <c r="E29" s="805">
        <v>0</v>
      </c>
      <c r="F29" s="462">
        <f>E29/'État des Résultats'!E$14</f>
        <v>0</v>
      </c>
      <c r="H29" s="805">
        <v>0</v>
      </c>
      <c r="I29" s="462">
        <f>H29/'État des Résultats'!H$14</f>
        <v>0</v>
      </c>
      <c r="K29" s="805">
        <v>0</v>
      </c>
      <c r="L29" s="462">
        <f>K29/'État des Résultats'!K$14</f>
        <v>0</v>
      </c>
      <c r="N29" s="805">
        <v>0</v>
      </c>
      <c r="O29" s="462">
        <f>N29/'État des Résultats'!N$14</f>
        <v>0</v>
      </c>
      <c r="Q29" s="805">
        <v>0</v>
      </c>
      <c r="R29" s="462">
        <f>Q29/'État des Résultats'!Q$14</f>
        <v>0</v>
      </c>
      <c r="T29" s="805">
        <v>0</v>
      </c>
      <c r="U29" s="462">
        <f>T29/'État des Résultats'!T$14</f>
        <v>0</v>
      </c>
      <c r="W29" s="805">
        <v>0</v>
      </c>
      <c r="X29" s="462">
        <f>W29/'État des Résultats'!W$14</f>
        <v>0</v>
      </c>
      <c r="Z29" s="805">
        <v>0</v>
      </c>
      <c r="AA29" s="462">
        <f>Z29/'État des Résultats'!Z$14</f>
        <v>0</v>
      </c>
      <c r="AC29" s="805">
        <v>0</v>
      </c>
      <c r="AD29" s="462">
        <f>AC29/'État des Résultats'!AC$14</f>
        <v>0</v>
      </c>
      <c r="AF29" s="805">
        <v>0</v>
      </c>
      <c r="AG29" s="462">
        <f>AF29/'État des Résultats'!AF$14</f>
        <v>0</v>
      </c>
      <c r="AI29" s="805">
        <v>0</v>
      </c>
      <c r="AJ29" s="462">
        <f>AI29/'État des Résultats'!AI$14</f>
        <v>0</v>
      </c>
      <c r="AL29" s="805">
        <v>0</v>
      </c>
      <c r="AM29" s="462">
        <f>AL29/'État des Résultats'!AL$14</f>
        <v>0</v>
      </c>
      <c r="AP29" s="811">
        <f t="shared" si="2"/>
        <v>0</v>
      </c>
      <c r="AQ29" s="466">
        <f>+AP29/'État des Résultats'!$AP$14</f>
        <v>0</v>
      </c>
    </row>
    <row r="30" spans="2:69" x14ac:dyDescent="0.15">
      <c r="B30" s="190">
        <v>6240</v>
      </c>
      <c r="C30" s="391" t="s">
        <v>210</v>
      </c>
      <c r="E30" s="805">
        <v>0</v>
      </c>
      <c r="F30" s="462">
        <f>E30/'État des Résultats'!E$14</f>
        <v>0</v>
      </c>
      <c r="H30" s="805">
        <v>0</v>
      </c>
      <c r="I30" s="462">
        <f>H30/'État des Résultats'!H$14</f>
        <v>0</v>
      </c>
      <c r="K30" s="805">
        <v>0</v>
      </c>
      <c r="L30" s="462">
        <f>K30/'État des Résultats'!K$14</f>
        <v>0</v>
      </c>
      <c r="N30" s="805">
        <v>0</v>
      </c>
      <c r="O30" s="462">
        <f>N30/'État des Résultats'!N$14</f>
        <v>0</v>
      </c>
      <c r="Q30" s="805">
        <v>0</v>
      </c>
      <c r="R30" s="462">
        <f>Q30/'État des Résultats'!Q$14</f>
        <v>0</v>
      </c>
      <c r="T30" s="805">
        <v>0</v>
      </c>
      <c r="U30" s="462">
        <f>T30/'État des Résultats'!T$14</f>
        <v>0</v>
      </c>
      <c r="W30" s="805">
        <v>0</v>
      </c>
      <c r="X30" s="462">
        <f>W30/'État des Résultats'!W$14</f>
        <v>0</v>
      </c>
      <c r="Z30" s="805">
        <v>0</v>
      </c>
      <c r="AA30" s="462">
        <f>Z30/'État des Résultats'!Z$14</f>
        <v>0</v>
      </c>
      <c r="AC30" s="805">
        <v>0</v>
      </c>
      <c r="AD30" s="462">
        <f>AC30/'État des Résultats'!AC$14</f>
        <v>0</v>
      </c>
      <c r="AF30" s="805">
        <v>0</v>
      </c>
      <c r="AG30" s="462">
        <f>AF30/'État des Résultats'!AF$14</f>
        <v>0</v>
      </c>
      <c r="AI30" s="805">
        <v>0</v>
      </c>
      <c r="AJ30" s="462">
        <f>AI30/'État des Résultats'!AI$14</f>
        <v>0</v>
      </c>
      <c r="AL30" s="805">
        <v>0</v>
      </c>
      <c r="AM30" s="462">
        <f>AL30/'État des Résultats'!AL$14</f>
        <v>0</v>
      </c>
      <c r="AP30" s="811">
        <f t="shared" si="2"/>
        <v>0</v>
      </c>
      <c r="AQ30" s="466">
        <f>+AP30/'État des Résultats'!$AP$14</f>
        <v>0</v>
      </c>
    </row>
    <row r="31" spans="2:69" x14ac:dyDescent="0.15">
      <c r="B31" s="190">
        <v>6245</v>
      </c>
      <c r="C31" s="391" t="s">
        <v>211</v>
      </c>
      <c r="E31" s="798">
        <f>'Salaire (planification)'!E68</f>
        <v>248.96000000000004</v>
      </c>
      <c r="F31" s="462">
        <f>E31/'État des Résultats'!E$14</f>
        <v>3.4110339788089149E-3</v>
      </c>
      <c r="H31" s="798">
        <f>'Salaire (planification)'!H68</f>
        <v>242.23250000000002</v>
      </c>
      <c r="I31" s="462">
        <f>H31/'État des Résultats'!H$14</f>
        <v>3.4240632325397854E-3</v>
      </c>
      <c r="K31" s="798">
        <f>'Salaire (planification)'!K68</f>
        <v>266.4975</v>
      </c>
      <c r="L31" s="462">
        <f>K31/'État des Résultats'!K$14</f>
        <v>3.3805537056417088E-3</v>
      </c>
      <c r="N31" s="798">
        <f>'Salaire (planification)'!N68</f>
        <v>278.21405250000004</v>
      </c>
      <c r="O31" s="462">
        <f>N31/'État des Résultats'!N$14</f>
        <v>3.3625902687358933E-3</v>
      </c>
      <c r="Q31" s="798">
        <f>'Salaire (planification)'!Q68</f>
        <v>297.2432</v>
      </c>
      <c r="R31" s="462">
        <f>Q31/'État des Résultats'!Q$14</f>
        <v>3.3367718991540291E-3</v>
      </c>
      <c r="T31" s="798">
        <f>'Salaire (planification)'!T68</f>
        <v>304.64011000000005</v>
      </c>
      <c r="U31" s="462">
        <f>T31/'État des Résultats'!T$14</f>
        <v>3.3277015873610016E-3</v>
      </c>
      <c r="W31" s="798">
        <f>'Salaire (planification)'!W68</f>
        <v>324.99526500000007</v>
      </c>
      <c r="X31" s="462">
        <f>W31/'État des Résultats'!W$14</f>
        <v>3.3050896427100282E-3</v>
      </c>
      <c r="Z31" s="798">
        <f>'Salaire (planification)'!Z68</f>
        <v>328.88898000000006</v>
      </c>
      <c r="AA31" s="462">
        <f>Z31/'État des Résultats'!Z$14</f>
        <v>3.3011151498459398E-3</v>
      </c>
      <c r="AC31" s="798">
        <f>'Salaire (planification)'!AC68</f>
        <v>303.30171000000007</v>
      </c>
      <c r="AD31" s="462">
        <f>AC31/'État des Résultats'!AC$14</f>
        <v>3.3293063918260891E-3</v>
      </c>
      <c r="AF31" s="798">
        <f>'Salaire (planification)'!AF68</f>
        <v>313.07589500000006</v>
      </c>
      <c r="AG31" s="462">
        <f>AF31/'État des Résultats'!AF$14</f>
        <v>3.3179359372863594E-3</v>
      </c>
      <c r="AI31" s="798">
        <f>'Salaire (planification)'!AI68</f>
        <v>293.12115500000004</v>
      </c>
      <c r="AJ31" s="462">
        <f>AI31/'État des Résultats'!AI$14</f>
        <v>3.3420477536289326E-3</v>
      </c>
      <c r="AL31" s="798">
        <f>'Salaire (planification)'!AL68</f>
        <v>322.41369000000003</v>
      </c>
      <c r="AM31" s="462">
        <f>AL31/'État des Résultats'!AL$14</f>
        <v>3.307783127390513E-3</v>
      </c>
      <c r="AP31" s="811">
        <f t="shared" si="2"/>
        <v>3523.5840575000002</v>
      </c>
      <c r="AQ31" s="466">
        <f>+AP31/'État des Résultats'!$AP$14</f>
        <v>3.3413849546496525E-3</v>
      </c>
    </row>
    <row r="32" spans="2:69" x14ac:dyDescent="0.15">
      <c r="B32" s="190">
        <v>6255</v>
      </c>
      <c r="C32" s="391" t="s">
        <v>227</v>
      </c>
      <c r="E32" s="805">
        <v>0</v>
      </c>
      <c r="F32" s="462">
        <f>E32/'État des Résultats'!E$14</f>
        <v>0</v>
      </c>
      <c r="G32" s="170"/>
      <c r="H32" s="805">
        <v>0</v>
      </c>
      <c r="I32" s="462">
        <f>H32/'État des Résultats'!H$14</f>
        <v>0</v>
      </c>
      <c r="J32" s="170"/>
      <c r="K32" s="805">
        <v>0</v>
      </c>
      <c r="L32" s="462">
        <f>K32/'État des Résultats'!K$14</f>
        <v>0</v>
      </c>
      <c r="M32" s="170"/>
      <c r="N32" s="805">
        <v>0</v>
      </c>
      <c r="O32" s="462">
        <f>N32/'État des Résultats'!N$14</f>
        <v>0</v>
      </c>
      <c r="P32" s="170"/>
      <c r="Q32" s="805">
        <v>0</v>
      </c>
      <c r="R32" s="462">
        <f>Q32/'État des Résultats'!Q$14</f>
        <v>0</v>
      </c>
      <c r="S32" s="170"/>
      <c r="T32" s="805">
        <v>0</v>
      </c>
      <c r="U32" s="462">
        <f>T32/'État des Résultats'!T$14</f>
        <v>0</v>
      </c>
      <c r="V32" s="170"/>
      <c r="W32" s="805">
        <v>0</v>
      </c>
      <c r="X32" s="462">
        <f>W32/'État des Résultats'!W$14</f>
        <v>0</v>
      </c>
      <c r="Z32" s="805">
        <v>0</v>
      </c>
      <c r="AA32" s="462">
        <f>Z32/'État des Résultats'!Z$14</f>
        <v>0</v>
      </c>
      <c r="AB32" s="170"/>
      <c r="AC32" s="805">
        <v>0</v>
      </c>
      <c r="AD32" s="462">
        <f>AC32/'État des Résultats'!AC$14</f>
        <v>0</v>
      </c>
      <c r="AE32" s="170"/>
      <c r="AF32" s="805">
        <v>0</v>
      </c>
      <c r="AG32" s="462">
        <f>AF32/'État des Résultats'!AF$14</f>
        <v>0</v>
      </c>
      <c r="AH32" s="170"/>
      <c r="AI32" s="805">
        <v>0</v>
      </c>
      <c r="AJ32" s="462">
        <f>AI32/'État des Résultats'!AI$14</f>
        <v>0</v>
      </c>
      <c r="AK32" s="170"/>
      <c r="AL32" s="805">
        <v>0</v>
      </c>
      <c r="AM32" s="462">
        <f>AL32/'État des Résultats'!AL$14</f>
        <v>0</v>
      </c>
      <c r="AN32" s="170"/>
      <c r="AO32" s="170"/>
      <c r="AP32" s="811">
        <f t="shared" si="2"/>
        <v>0</v>
      </c>
      <c r="AQ32" s="466">
        <f>+AP32/'État des Résultats'!$AP$14</f>
        <v>0</v>
      </c>
      <c r="AR32" s="453"/>
      <c r="AS32" s="453"/>
      <c r="AT32" s="453"/>
      <c r="AU32" s="210"/>
      <c r="AV32" s="210"/>
      <c r="AW32" s="210"/>
      <c r="AX32" s="210"/>
      <c r="AY32" s="210"/>
      <c r="AZ32" s="210"/>
      <c r="BA32" s="210"/>
      <c r="BB32" s="453"/>
      <c r="BC32" s="453"/>
      <c r="BD32" s="453"/>
      <c r="BE32" s="453"/>
      <c r="BF32" s="453"/>
      <c r="BG32" s="170"/>
      <c r="BH32" s="170"/>
      <c r="BI32" s="170"/>
      <c r="BJ32" s="170"/>
      <c r="BK32" s="170"/>
      <c r="BL32" s="170"/>
      <c r="BM32" s="170"/>
      <c r="BN32" s="170"/>
      <c r="BO32" s="170"/>
      <c r="BP32" s="170"/>
      <c r="BQ32" s="170"/>
    </row>
    <row r="33" spans="2:54" x14ac:dyDescent="0.15">
      <c r="B33" s="190">
        <v>6260</v>
      </c>
      <c r="C33" s="391" t="s">
        <v>212</v>
      </c>
      <c r="E33" s="805">
        <f>0.01*E23</f>
        <v>248.96000000000004</v>
      </c>
      <c r="F33" s="462">
        <f>E33/'État des Résultats'!E$14</f>
        <v>3.4110339788089149E-3</v>
      </c>
      <c r="H33" s="805">
        <f>0.01*H23</f>
        <v>242.23250000000002</v>
      </c>
      <c r="I33" s="462">
        <f>H33/'État des Résultats'!H$14</f>
        <v>3.4240632325397854E-3</v>
      </c>
      <c r="K33" s="805">
        <f>0.01*K23</f>
        <v>266.4975</v>
      </c>
      <c r="L33" s="462">
        <f>K33/'État des Résultats'!K$14</f>
        <v>3.3805537056417088E-3</v>
      </c>
      <c r="N33" s="805">
        <f>0.01*N23</f>
        <v>278.21405250000004</v>
      </c>
      <c r="O33" s="462">
        <f>N33/'État des Résultats'!N$14</f>
        <v>3.3625902687358933E-3</v>
      </c>
      <c r="Q33" s="805">
        <f>0.01*Q23</f>
        <v>297.2432</v>
      </c>
      <c r="R33" s="462">
        <f>Q33/'État des Résultats'!Q$14</f>
        <v>3.3367718991540291E-3</v>
      </c>
      <c r="T33" s="805">
        <f>0.01*T23</f>
        <v>304.64011000000005</v>
      </c>
      <c r="U33" s="462">
        <f>T33/'État des Résultats'!T$14</f>
        <v>3.3277015873610016E-3</v>
      </c>
      <c r="W33" s="805">
        <f>0.01*W23</f>
        <v>324.99526500000007</v>
      </c>
      <c r="X33" s="462">
        <f>W33/'État des Résultats'!W$14</f>
        <v>3.3050896427100282E-3</v>
      </c>
      <c r="Z33" s="805">
        <f>0.01*Z23</f>
        <v>328.88898</v>
      </c>
      <c r="AA33" s="462">
        <f>Z33/'État des Résultats'!Z$14</f>
        <v>3.3011151498459393E-3</v>
      </c>
      <c r="AC33" s="805">
        <f>0.01*AC23</f>
        <v>303.30171000000001</v>
      </c>
      <c r="AD33" s="462">
        <f>AC33/'État des Résultats'!AC$14</f>
        <v>3.3293063918260883E-3</v>
      </c>
      <c r="AF33" s="805">
        <f>0.01*AF23</f>
        <v>313.07589500000006</v>
      </c>
      <c r="AG33" s="462">
        <f>AF33/'État des Résultats'!AF$14</f>
        <v>3.3179359372863594E-3</v>
      </c>
      <c r="AI33" s="805">
        <f>0.01*AI23</f>
        <v>293.12115499999999</v>
      </c>
      <c r="AJ33" s="462">
        <f>AI33/'État des Résultats'!AI$14</f>
        <v>3.3420477536289317E-3</v>
      </c>
      <c r="AL33" s="805">
        <f>0.01*AL23</f>
        <v>322.41369000000003</v>
      </c>
      <c r="AM33" s="462">
        <f>AL33/'État des Résultats'!AL$14</f>
        <v>3.307783127390513E-3</v>
      </c>
      <c r="AP33" s="811">
        <f t="shared" si="2"/>
        <v>3523.5840575000002</v>
      </c>
      <c r="AQ33" s="466">
        <f>+AP33/'État des Résultats'!$AP$14</f>
        <v>3.3413849546496525E-3</v>
      </c>
    </row>
    <row r="34" spans="2:54" x14ac:dyDescent="0.15">
      <c r="B34" s="190">
        <v>6265</v>
      </c>
      <c r="C34" s="391" t="s">
        <v>213</v>
      </c>
      <c r="E34" s="805">
        <v>0</v>
      </c>
      <c r="F34" s="462">
        <f>E34/'État des Résultats'!E$14</f>
        <v>0</v>
      </c>
      <c r="H34" s="805">
        <v>0</v>
      </c>
      <c r="I34" s="462">
        <f>H34/'État des Résultats'!H$14</f>
        <v>0</v>
      </c>
      <c r="K34" s="805">
        <v>0</v>
      </c>
      <c r="L34" s="462">
        <f>K34/'État des Résultats'!K$14</f>
        <v>0</v>
      </c>
      <c r="N34" s="805">
        <v>0</v>
      </c>
      <c r="O34" s="462">
        <f>N34/'État des Résultats'!N$14</f>
        <v>0</v>
      </c>
      <c r="Q34" s="805">
        <v>0</v>
      </c>
      <c r="R34" s="462">
        <f>Q34/'État des Résultats'!Q$14</f>
        <v>0</v>
      </c>
      <c r="T34" s="805">
        <v>0</v>
      </c>
      <c r="U34" s="462">
        <f>T34/'État des Résultats'!T$14</f>
        <v>0</v>
      </c>
      <c r="W34" s="805">
        <v>0</v>
      </c>
      <c r="X34" s="462">
        <f>W34/'État des Résultats'!W$14</f>
        <v>0</v>
      </c>
      <c r="Z34" s="805">
        <v>0</v>
      </c>
      <c r="AA34" s="462">
        <f>Z34/'État des Résultats'!Z$14</f>
        <v>0</v>
      </c>
      <c r="AC34" s="805">
        <v>0</v>
      </c>
      <c r="AD34" s="462">
        <f>AC34/'État des Résultats'!AC$14</f>
        <v>0</v>
      </c>
      <c r="AF34" s="805">
        <v>0</v>
      </c>
      <c r="AG34" s="462">
        <f>AF34/'État des Résultats'!AF$14</f>
        <v>0</v>
      </c>
      <c r="AI34" s="805">
        <v>0</v>
      </c>
      <c r="AJ34" s="462">
        <f>AI34/'État des Résultats'!AI$14</f>
        <v>0</v>
      </c>
      <c r="AL34" s="805">
        <v>0</v>
      </c>
      <c r="AM34" s="462">
        <f>AL34/'État des Résultats'!AL$14</f>
        <v>0</v>
      </c>
      <c r="AP34" s="811">
        <f t="shared" si="2"/>
        <v>0</v>
      </c>
      <c r="AQ34" s="466">
        <f>+AP34/'État des Résultats'!$AP$14</f>
        <v>0</v>
      </c>
    </row>
    <row r="35" spans="2:54" x14ac:dyDescent="0.15">
      <c r="B35" s="454" t="s">
        <v>214</v>
      </c>
      <c r="C35" s="391" t="s">
        <v>215</v>
      </c>
      <c r="E35" s="805">
        <v>0</v>
      </c>
      <c r="F35" s="462">
        <f>E35/'État des Résultats'!E$14</f>
        <v>0</v>
      </c>
      <c r="H35" s="805">
        <v>0</v>
      </c>
      <c r="I35" s="462">
        <f>H35/'État des Résultats'!H$14</f>
        <v>0</v>
      </c>
      <c r="K35" s="805">
        <v>0</v>
      </c>
      <c r="L35" s="462">
        <f>K35/'État des Résultats'!K$14</f>
        <v>0</v>
      </c>
      <c r="N35" s="805">
        <v>0</v>
      </c>
      <c r="O35" s="462">
        <f>N35/'État des Résultats'!N$14</f>
        <v>0</v>
      </c>
      <c r="Q35" s="805">
        <v>0</v>
      </c>
      <c r="R35" s="462">
        <f>Q35/'État des Résultats'!Q$14</f>
        <v>0</v>
      </c>
      <c r="T35" s="805">
        <v>0</v>
      </c>
      <c r="U35" s="462">
        <f>T35/'État des Résultats'!T$14</f>
        <v>0</v>
      </c>
      <c r="W35" s="805">
        <v>0</v>
      </c>
      <c r="X35" s="462">
        <f>W35/'État des Résultats'!W$14</f>
        <v>0</v>
      </c>
      <c r="Z35" s="805">
        <v>0</v>
      </c>
      <c r="AA35" s="462">
        <f>Z35/'État des Résultats'!Z$14</f>
        <v>0</v>
      </c>
      <c r="AC35" s="805">
        <v>0</v>
      </c>
      <c r="AD35" s="462">
        <f>AC35/'État des Résultats'!AC$14</f>
        <v>0</v>
      </c>
      <c r="AF35" s="805">
        <v>0</v>
      </c>
      <c r="AG35" s="462">
        <f>AF35/'État des Résultats'!AF$14</f>
        <v>0</v>
      </c>
      <c r="AI35" s="805">
        <v>0</v>
      </c>
      <c r="AJ35" s="462">
        <f>AI35/'État des Résultats'!AI$14</f>
        <v>0</v>
      </c>
      <c r="AL35" s="805">
        <v>0</v>
      </c>
      <c r="AM35" s="462">
        <f>AL35/'État des Résultats'!AL$14</f>
        <v>0</v>
      </c>
      <c r="AP35" s="811">
        <f t="shared" si="2"/>
        <v>0</v>
      </c>
      <c r="AQ35" s="466">
        <f>+AP35/'État des Résultats'!$AP$14</f>
        <v>0</v>
      </c>
    </row>
    <row r="36" spans="2:54" ht="14" thickBot="1" x14ac:dyDescent="0.2">
      <c r="B36" s="1412" t="s">
        <v>216</v>
      </c>
      <c r="C36" s="1413"/>
      <c r="D36" s="213"/>
      <c r="E36" s="800">
        <f>SUM(E27:E35)</f>
        <v>3331.3626666666669</v>
      </c>
      <c r="F36" s="463">
        <f>SUM(F27:F35)</f>
        <v>4.5643441724515899E-2</v>
      </c>
      <c r="G36" s="213"/>
      <c r="H36" s="800">
        <f>SUM(H27:H35)</f>
        <v>3240.9899166666669</v>
      </c>
      <c r="I36" s="463">
        <f>SUM(I27:I35)</f>
        <v>4.5812822023017202E-2</v>
      </c>
      <c r="J36" s="213"/>
      <c r="K36" s="800">
        <f>SUM(K27:K35)</f>
        <v>3566.9497499999998</v>
      </c>
      <c r="L36" s="463">
        <f>SUM(L27:L35)</f>
        <v>4.5247198173342204E-2</v>
      </c>
      <c r="M36" s="213"/>
      <c r="N36" s="800">
        <f>SUM(N27:N35)</f>
        <v>3724.3421052500003</v>
      </c>
      <c r="O36" s="463">
        <f>SUM(O27:O35)</f>
        <v>4.5013673493566608E-2</v>
      </c>
      <c r="P36" s="213"/>
      <c r="Q36" s="800">
        <f>SUM(Q27:Q35)</f>
        <v>3979.9669866666663</v>
      </c>
      <c r="R36" s="463">
        <f>SUM(R27:R35)</f>
        <v>4.4678034689002381E-2</v>
      </c>
      <c r="S36" s="213"/>
      <c r="T36" s="800">
        <f>SUM(T27:T35)</f>
        <v>4079.3321443333343</v>
      </c>
      <c r="U36" s="463">
        <f>SUM(U27:U35)</f>
        <v>4.4560120635693021E-2</v>
      </c>
      <c r="V36" s="213"/>
      <c r="W36" s="800">
        <f>SUM(W27:W35)</f>
        <v>4352.7697265000006</v>
      </c>
      <c r="X36" s="463">
        <f>SUM(X27:X35)</f>
        <v>4.4266165355230362E-2</v>
      </c>
      <c r="Y36" s="213"/>
      <c r="Z36" s="800">
        <f>SUM(Z27:Z35)</f>
        <v>4405.0752980000007</v>
      </c>
      <c r="AA36" s="463">
        <f>SUM(AA27:AA35)</f>
        <v>4.4214496947997221E-2</v>
      </c>
      <c r="AB36" s="213"/>
      <c r="AC36" s="800">
        <f>SUM(AC27:AC35)</f>
        <v>4061.3529710000007</v>
      </c>
      <c r="AD36" s="463">
        <f>SUM(AD27:AD35)</f>
        <v>4.4580983093739153E-2</v>
      </c>
      <c r="AE36" s="213"/>
      <c r="AF36" s="800">
        <f>SUM(AF27:AF35)</f>
        <v>4192.6528561666673</v>
      </c>
      <c r="AG36" s="463">
        <f>SUM(AG27:AG35)</f>
        <v>4.4433167184722677E-2</v>
      </c>
      <c r="AH36" s="213"/>
      <c r="AI36" s="800">
        <f>SUM(AI27:AI35)</f>
        <v>3924.5941821666665</v>
      </c>
      <c r="AJ36" s="463">
        <f>SUM(AJ27:AJ35)</f>
        <v>4.4746620797176118E-2</v>
      </c>
      <c r="AK36" s="213"/>
      <c r="AL36" s="800">
        <f>SUM(AL27:AL35)</f>
        <v>4318.090569</v>
      </c>
      <c r="AM36" s="463">
        <f>SUM(AM27:AM35)</f>
        <v>4.4301180656076661E-2</v>
      </c>
      <c r="AN36" s="213"/>
      <c r="AO36" s="213"/>
      <c r="AP36" s="812">
        <f>SUM(AP27:AP35)</f>
        <v>47177.479172416672</v>
      </c>
      <c r="AQ36" s="463">
        <f>SUM(AQ27:AQ35)</f>
        <v>4.4738004410445488E-2</v>
      </c>
      <c r="AR36" s="251"/>
      <c r="AS36" s="251"/>
    </row>
    <row r="37" spans="2:54" ht="15" thickTop="1" thickBot="1" x14ac:dyDescent="0.2">
      <c r="B37" s="474"/>
      <c r="C37" s="474"/>
      <c r="D37" s="474"/>
      <c r="E37" s="806"/>
      <c r="F37" s="511"/>
      <c r="G37" s="474"/>
      <c r="H37" s="806"/>
      <c r="I37" s="511"/>
      <c r="J37" s="474"/>
      <c r="K37" s="806"/>
      <c r="L37" s="511"/>
      <c r="M37" s="474"/>
      <c r="N37" s="806"/>
      <c r="O37" s="511"/>
      <c r="P37" s="474"/>
      <c r="Q37" s="806"/>
      <c r="R37" s="511"/>
      <c r="S37" s="474"/>
      <c r="T37" s="806"/>
      <c r="U37" s="511"/>
      <c r="V37" s="474"/>
      <c r="W37" s="806"/>
      <c r="X37" s="511"/>
      <c r="Y37" s="474"/>
      <c r="Z37" s="806"/>
      <c r="AA37" s="511"/>
      <c r="AB37" s="474"/>
      <c r="AC37" s="806"/>
      <c r="AD37" s="511"/>
      <c r="AE37" s="474"/>
      <c r="AF37" s="806"/>
      <c r="AG37" s="511"/>
      <c r="AH37" s="474"/>
      <c r="AI37" s="806"/>
      <c r="AJ37" s="511"/>
      <c r="AK37" s="474"/>
      <c r="AL37" s="806"/>
      <c r="AM37" s="511"/>
      <c r="AN37" s="474"/>
      <c r="AO37" s="474"/>
      <c r="AP37" s="816"/>
      <c r="AQ37" s="511"/>
    </row>
    <row r="38" spans="2:54" ht="15" thickTop="1" thickBot="1" x14ac:dyDescent="0.2">
      <c r="B38" s="1414" t="str">
        <f>'État des Résultats'!C21</f>
        <v xml:space="preserve">   Total des coûts de la main-d’œuvre</v>
      </c>
      <c r="C38" s="1415"/>
      <c r="D38" s="251"/>
      <c r="E38" s="807">
        <f>+E23+E36</f>
        <v>28227.362666666671</v>
      </c>
      <c r="F38" s="455">
        <f>E38/'État des Résultats'!E14</f>
        <v>0.3867468396054074</v>
      </c>
      <c r="G38" s="251"/>
      <c r="H38" s="807">
        <f>+H23+H36</f>
        <v>27464.239916666666</v>
      </c>
      <c r="I38" s="455">
        <f>H38/'État des Résultats'!H14</f>
        <v>0.38821914527699569</v>
      </c>
      <c r="J38" s="251"/>
      <c r="K38" s="807">
        <f>+K23+K36</f>
        <v>30216.69975</v>
      </c>
      <c r="L38" s="455">
        <f>K38/'État des Résultats'!K14</f>
        <v>0.38330256873751306</v>
      </c>
      <c r="M38" s="251"/>
      <c r="N38" s="807">
        <f>+N23+N36</f>
        <v>31545.747355250005</v>
      </c>
      <c r="O38" s="455">
        <f>N38/'État des Résultats'!N14</f>
        <v>0.38127270036715594</v>
      </c>
      <c r="P38" s="251"/>
      <c r="Q38" s="807">
        <f>+Q23+Q36</f>
        <v>33704.286986666666</v>
      </c>
      <c r="R38" s="455">
        <f>Q38/'État des Résultats'!Q14</f>
        <v>0.37835522460440529</v>
      </c>
      <c r="S38" s="251"/>
      <c r="T38" s="807">
        <f>+T23+T36</f>
        <v>34543.343144333339</v>
      </c>
      <c r="U38" s="455">
        <f>T38/'État des Résultats'!T14</f>
        <v>0.3773302793717932</v>
      </c>
      <c r="V38" s="251"/>
      <c r="W38" s="807">
        <f>+W23+W36</f>
        <v>36852.29622650001</v>
      </c>
      <c r="X38" s="455">
        <f>W38/'État des Résultats'!W14</f>
        <v>0.37477512962623316</v>
      </c>
      <c r="Y38" s="251"/>
      <c r="Z38" s="807">
        <f>+Z23+Z36</f>
        <v>37293.973298000004</v>
      </c>
      <c r="AA38" s="455">
        <f>Z38/'État des Résultats'!Z14</f>
        <v>0.37432601193259118</v>
      </c>
      <c r="AB38" s="251"/>
      <c r="AC38" s="807">
        <f>+AC23+AC36</f>
        <v>34391.523971000002</v>
      </c>
      <c r="AD38" s="455">
        <f>AC38/'État des Résultats'!AC14</f>
        <v>0.37751162227634799</v>
      </c>
      <c r="AE38" s="251"/>
      <c r="AF38" s="807">
        <f>+AF23+AF36</f>
        <v>35500.242356166673</v>
      </c>
      <c r="AG38" s="455">
        <f>AF38/'État des Résultats'!AF14</f>
        <v>0.3762267609133586</v>
      </c>
      <c r="AH38" s="251"/>
      <c r="AI38" s="807">
        <f>+AI23+AI36</f>
        <v>33236.709682166664</v>
      </c>
      <c r="AJ38" s="455">
        <f>AI38/'État des Résultats'!AI14</f>
        <v>0.37895139616006929</v>
      </c>
      <c r="AK38" s="251"/>
      <c r="AL38" s="807">
        <f>+AL23+AL36</f>
        <v>36559.459568999999</v>
      </c>
      <c r="AM38" s="455">
        <f>AL38/'État des Résultats'!AL14</f>
        <v>0.37507949339512792</v>
      </c>
      <c r="AN38" s="251"/>
      <c r="AO38" s="251"/>
      <c r="AP38" s="807">
        <f>+AP23+AP36</f>
        <v>399535.88492241671</v>
      </c>
      <c r="AQ38" s="455">
        <f>AP38/'État des Résultats'!AP14</f>
        <v>0.37887649987541078</v>
      </c>
    </row>
    <row r="39" spans="2:54" ht="15" thickTop="1" thickBot="1" x14ac:dyDescent="0.2">
      <c r="B39" s="531"/>
      <c r="C39" s="532"/>
      <c r="D39" s="327"/>
      <c r="E39" s="808"/>
      <c r="F39" s="533"/>
      <c r="G39" s="327"/>
      <c r="H39" s="808"/>
      <c r="I39" s="533"/>
      <c r="J39" s="327"/>
      <c r="K39" s="808"/>
      <c r="L39" s="533"/>
      <c r="M39" s="327"/>
      <c r="N39" s="808"/>
      <c r="O39" s="533"/>
      <c r="P39" s="327"/>
      <c r="Q39" s="808"/>
      <c r="R39" s="533"/>
      <c r="S39" s="327"/>
      <c r="T39" s="808"/>
      <c r="U39" s="533"/>
      <c r="V39" s="327"/>
      <c r="W39" s="808"/>
      <c r="X39" s="533"/>
      <c r="Y39" s="327"/>
      <c r="Z39" s="808"/>
      <c r="AA39" s="533"/>
      <c r="AB39" s="327"/>
      <c r="AC39" s="808"/>
      <c r="AD39" s="533"/>
      <c r="AE39" s="327"/>
      <c r="AF39" s="808"/>
      <c r="AG39" s="533"/>
      <c r="AH39" s="327"/>
      <c r="AI39" s="808"/>
      <c r="AJ39" s="533"/>
      <c r="AK39" s="327"/>
      <c r="AL39" s="808"/>
      <c r="AM39" s="533"/>
      <c r="AN39" s="327"/>
      <c r="AO39" s="327"/>
      <c r="AP39" s="808"/>
      <c r="AQ39" s="533"/>
    </row>
    <row r="40" spans="2:54" ht="14" thickTop="1" x14ac:dyDescent="0.15">
      <c r="B40" s="1396" t="s">
        <v>228</v>
      </c>
      <c r="C40" s="1397"/>
      <c r="D40" s="534"/>
      <c r="E40" s="809">
        <f>+E27+E31</f>
        <v>3082.4026666666668</v>
      </c>
      <c r="F40" s="538">
        <f>+(E40/E23)</f>
        <v>0.12381116109682946</v>
      </c>
      <c r="G40" s="535"/>
      <c r="H40" s="809">
        <f>+H27+H31</f>
        <v>2998.7574166666668</v>
      </c>
      <c r="I40" s="538">
        <f>+(H40/H23)</f>
        <v>0.123796658857365</v>
      </c>
      <c r="J40" s="535"/>
      <c r="K40" s="809">
        <f>+K27+K31</f>
        <v>3300.4522499999998</v>
      </c>
      <c r="L40" s="538">
        <f>+(K40/K23)</f>
        <v>0.12384552387921087</v>
      </c>
      <c r="M40" s="535"/>
      <c r="N40" s="809">
        <f>+N27+N31</f>
        <v>3446.1280527500003</v>
      </c>
      <c r="O40" s="538">
        <f>+(N40/N23)</f>
        <v>0.12386606721635672</v>
      </c>
      <c r="P40" s="535"/>
      <c r="Q40" s="809">
        <f>+Q27+Q31</f>
        <v>3682.7237866666665</v>
      </c>
      <c r="R40" s="538">
        <f>+(Q40/Q23)</f>
        <v>0.123895981023844</v>
      </c>
      <c r="S40" s="535"/>
      <c r="T40" s="809">
        <f>+T27+T31</f>
        <v>3774.692034333334</v>
      </c>
      <c r="U40" s="538">
        <f>+(T40/T23)</f>
        <v>0.12390660029414163</v>
      </c>
      <c r="V40" s="535"/>
      <c r="W40" s="809">
        <f>+W27+W31</f>
        <v>4027.7744615000006</v>
      </c>
      <c r="X40" s="538">
        <f>+(W40/W23)</f>
        <v>0.12393332750555611</v>
      </c>
      <c r="Y40" s="535"/>
      <c r="Z40" s="809">
        <f>+Z27+Z31</f>
        <v>4076.1863180000005</v>
      </c>
      <c r="AA40" s="538">
        <f>+(Z40/Z23)</f>
        <v>0.12393806317256359</v>
      </c>
      <c r="AB40" s="535"/>
      <c r="AC40" s="809">
        <f>+AC27+AC31</f>
        <v>3758.0512610000005</v>
      </c>
      <c r="AD40" s="538">
        <f>+(AC40/AC23)</f>
        <v>0.12390471722035462</v>
      </c>
      <c r="AE40" s="535"/>
      <c r="AF40" s="809">
        <f>+AF27+AF31</f>
        <v>3879.5769611666674</v>
      </c>
      <c r="AG40" s="538">
        <f>+(AF40/AF23)</f>
        <v>0.12391809855455868</v>
      </c>
      <c r="AH40" s="535"/>
      <c r="AI40" s="809">
        <f>+AI27+AI31</f>
        <v>3631.4730271666667</v>
      </c>
      <c r="AJ40" s="538">
        <f>+(AI40/AI23)</f>
        <v>0.12388983071408363</v>
      </c>
      <c r="AK40" s="535"/>
      <c r="AL40" s="809">
        <f>+AL27+AL31</f>
        <v>3995.6768790000001</v>
      </c>
      <c r="AM40" s="538">
        <f>+(AL40/AL23)</f>
        <v>0.12393012464824306</v>
      </c>
      <c r="AN40" s="537"/>
      <c r="AO40" s="536"/>
      <c r="AP40" s="809">
        <f t="shared" ref="AP40:AP41" si="3">SUM(+$AL40+$AI40+$AF40+$AC40+$Z40+$W40+$T40+$Q40+$N40+$K40+$H40+$E40)</f>
        <v>43653.895114916675</v>
      </c>
      <c r="AQ40" s="538">
        <f>+(AP40/AP23)</f>
        <v>0.123890602303069</v>
      </c>
      <c r="AR40" s="187"/>
      <c r="AS40" s="187"/>
      <c r="AT40" s="187"/>
      <c r="AU40" s="187"/>
      <c r="AV40" s="187"/>
      <c r="AW40" s="187"/>
      <c r="AX40" s="187"/>
      <c r="AY40" s="187"/>
      <c r="AZ40" s="187"/>
      <c r="BA40" s="187"/>
      <c r="BB40" s="187"/>
    </row>
    <row r="41" spans="2:54" ht="14" thickBot="1" x14ac:dyDescent="0.2">
      <c r="B41" s="1398" t="s">
        <v>229</v>
      </c>
      <c r="C41" s="1399"/>
      <c r="D41" s="479"/>
      <c r="E41" s="810">
        <f>+E36</f>
        <v>3331.3626666666669</v>
      </c>
      <c r="F41" s="539">
        <f>+E41/E23</f>
        <v>0.13381116109682947</v>
      </c>
      <c r="G41" s="258"/>
      <c r="H41" s="810">
        <f>+H36</f>
        <v>3240.9899166666669</v>
      </c>
      <c r="I41" s="539">
        <f>+H41/H23</f>
        <v>0.133796658857365</v>
      </c>
      <c r="J41" s="258"/>
      <c r="K41" s="810">
        <f>+K36</f>
        <v>3566.9497499999998</v>
      </c>
      <c r="L41" s="539">
        <f>+K41/K23</f>
        <v>0.13384552387921086</v>
      </c>
      <c r="M41" s="258"/>
      <c r="N41" s="810">
        <f>+N36</f>
        <v>3724.3421052500003</v>
      </c>
      <c r="O41" s="539">
        <f>+N41/N23</f>
        <v>0.13386606721635672</v>
      </c>
      <c r="P41" s="258"/>
      <c r="Q41" s="810">
        <f>+Q36</f>
        <v>3979.9669866666663</v>
      </c>
      <c r="R41" s="539">
        <f>+Q41/Q23</f>
        <v>0.13389598102384398</v>
      </c>
      <c r="S41" s="258"/>
      <c r="T41" s="810">
        <f>+T36</f>
        <v>4079.3321443333343</v>
      </c>
      <c r="U41" s="539">
        <f>+T41/T23</f>
        <v>0.13390660029414164</v>
      </c>
      <c r="V41" s="258"/>
      <c r="W41" s="810">
        <f>+W36</f>
        <v>4352.7697265000006</v>
      </c>
      <c r="X41" s="539">
        <f>+W41/W23</f>
        <v>0.13393332750555612</v>
      </c>
      <c r="Y41" s="258"/>
      <c r="Z41" s="810">
        <f>+Z36</f>
        <v>4405.0752980000007</v>
      </c>
      <c r="AA41" s="539">
        <f>+Z41/Z23</f>
        <v>0.1339380631725636</v>
      </c>
      <c r="AB41" s="258"/>
      <c r="AC41" s="810">
        <f>+AC36</f>
        <v>4061.3529710000007</v>
      </c>
      <c r="AD41" s="539">
        <f>+AC41/AC23</f>
        <v>0.13390471722035463</v>
      </c>
      <c r="AE41" s="258"/>
      <c r="AF41" s="810">
        <f>+AF36</f>
        <v>4192.6528561666673</v>
      </c>
      <c r="AG41" s="539">
        <f>+AF41/AF23</f>
        <v>0.13391809855455869</v>
      </c>
      <c r="AH41" s="258"/>
      <c r="AI41" s="810">
        <f>+AI36</f>
        <v>3924.5941821666665</v>
      </c>
      <c r="AJ41" s="539">
        <f>+AI41/AI23</f>
        <v>0.13388983071408361</v>
      </c>
      <c r="AK41" s="258"/>
      <c r="AL41" s="810">
        <f>+AL36</f>
        <v>4318.090569</v>
      </c>
      <c r="AM41" s="539">
        <f>+AL41/AL23</f>
        <v>0.13393012464824305</v>
      </c>
      <c r="AN41" s="415"/>
      <c r="AO41" s="419"/>
      <c r="AP41" s="810">
        <f t="shared" si="3"/>
        <v>47177.479172416664</v>
      </c>
      <c r="AQ41" s="539">
        <f>+AP41/AP23</f>
        <v>0.13389060230306896</v>
      </c>
    </row>
    <row r="42" spans="2:54" ht="14" thickTop="1" x14ac:dyDescent="0.15"/>
  </sheetData>
  <sheetProtection algorithmName="SHA-512" hashValue="/GKpHSog3reZAZpk6NXoZF8Xpo9fsSS5dKBtzCAxFP58RoehUaSNrXLq3ryT18FAbrZSuxhUaKy1LtpdQ1vsUg==" saltValue="b5Bku/SAAH5/9eq0nt3FUg==" spinCount="100000" sheet="1" objects="1" scenarios="1"/>
  <mergeCells count="13">
    <mergeCell ref="AS2:AS8"/>
    <mergeCell ref="BC2:BC8"/>
    <mergeCell ref="B9:C9"/>
    <mergeCell ref="B40:C40"/>
    <mergeCell ref="B41:C41"/>
    <mergeCell ref="B2:C2"/>
    <mergeCell ref="B3:C3"/>
    <mergeCell ref="B4:C4"/>
    <mergeCell ref="B6:C6"/>
    <mergeCell ref="B7:C7"/>
    <mergeCell ref="B8:C8"/>
    <mergeCell ref="B36:C36"/>
    <mergeCell ref="B38:C38"/>
  </mergeCells>
  <pageMargins left="0.75000000000000011" right="0.75000000000000011" top="1" bottom="1" header="0.49" footer="0.49"/>
  <pageSetup paperSize="5" scale="92" fitToWidth="2" orientation="landscape"/>
  <headerFooter>
    <oddFooter>&amp;C&amp;K000000Budget et indicateurs de performance (430-763-Me)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9C34F-B750-6248-892B-28A13BD2A3DE}">
  <sheetPr>
    <tabColor theme="1"/>
    <pageSetUpPr fitToPage="1"/>
  </sheetPr>
  <dimension ref="B1:BQ79"/>
  <sheetViews>
    <sheetView zoomScale="110" zoomScaleNormal="110" zoomScalePageLayoutView="125" workbookViewId="0">
      <pane xSplit="3" ySplit="9" topLeftCell="E25" activePane="bottomRight" state="frozen"/>
      <selection pane="topRight" activeCell="D1" sqref="D1"/>
      <selection pane="bottomLeft" activeCell="A8" sqref="A8"/>
      <selection pane="bottomRight" activeCell="A72" sqref="A72"/>
    </sheetView>
  </sheetViews>
  <sheetFormatPr baseColWidth="10" defaultRowHeight="13" x14ac:dyDescent="0.15"/>
  <cols>
    <col min="1" max="1" width="3.33203125" style="161" customWidth="1"/>
    <col min="2" max="2" width="10.83203125" style="161"/>
    <col min="3" max="3" width="42.5" style="161" customWidth="1"/>
    <col min="4" max="4" width="0.83203125" style="161" customWidth="1"/>
    <col min="5" max="5" width="15.6640625" style="161" bestFit="1" customWidth="1"/>
    <col min="6" max="6" width="9.1640625" style="161" bestFit="1" customWidth="1"/>
    <col min="7" max="7" width="0.83203125" style="161" customWidth="1"/>
    <col min="8" max="8" width="15.6640625" style="161" bestFit="1" customWidth="1"/>
    <col min="9" max="9" width="7.83203125" style="161" customWidth="1"/>
    <col min="10" max="10" width="0.83203125" style="161" customWidth="1"/>
    <col min="11" max="11" width="15.6640625" style="161" bestFit="1" customWidth="1"/>
    <col min="12" max="12" width="6.83203125" style="161" customWidth="1"/>
    <col min="13" max="13" width="0.83203125" style="161" customWidth="1"/>
    <col min="14" max="14" width="15.6640625" style="161" bestFit="1" customWidth="1"/>
    <col min="15" max="15" width="6.83203125" style="161" customWidth="1"/>
    <col min="16" max="16" width="0.83203125" style="161" customWidth="1"/>
    <col min="17" max="17" width="14.33203125" style="161" bestFit="1" customWidth="1"/>
    <col min="18" max="18" width="6.83203125" style="161" customWidth="1"/>
    <col min="19" max="19" width="0.83203125" style="161" customWidth="1"/>
    <col min="20" max="20" width="15.6640625" style="161" bestFit="1" customWidth="1"/>
    <col min="21" max="21" width="6.83203125" style="161" customWidth="1"/>
    <col min="22" max="22" width="0.83203125" style="161" customWidth="1"/>
    <col min="23" max="23" width="15.6640625" style="161" bestFit="1" customWidth="1"/>
    <col min="24" max="24" width="6.83203125" style="161" customWidth="1"/>
    <col min="25" max="25" width="0.83203125" style="161" customWidth="1"/>
    <col min="26" max="26" width="15.6640625" style="161" bestFit="1" customWidth="1"/>
    <col min="27" max="27" width="6.83203125" style="161" customWidth="1"/>
    <col min="28" max="28" width="0.83203125" style="161" customWidth="1"/>
    <col min="29" max="29" width="15.6640625" style="161" bestFit="1" customWidth="1"/>
    <col min="30" max="30" width="6.83203125" style="161" customWidth="1"/>
    <col min="31" max="31" width="0.83203125" style="161" customWidth="1"/>
    <col min="32" max="32" width="15.6640625" style="161" bestFit="1" customWidth="1"/>
    <col min="33" max="33" width="6.83203125" style="161" customWidth="1"/>
    <col min="34" max="34" width="0.83203125" style="161" customWidth="1"/>
    <col min="35" max="35" width="15.6640625" style="161" bestFit="1" customWidth="1"/>
    <col min="36" max="36" width="6.83203125" style="161" customWidth="1"/>
    <col min="37" max="37" width="0.83203125" style="161" customWidth="1"/>
    <col min="38" max="38" width="15.6640625" style="161" bestFit="1" customWidth="1"/>
    <col min="39" max="39" width="6.83203125" style="161" customWidth="1"/>
    <col min="40" max="41" width="0.83203125" style="161" customWidth="1"/>
    <col min="42" max="42" width="15.6640625" style="161" bestFit="1" customWidth="1"/>
    <col min="43" max="43" width="8.1640625" style="161" customWidth="1"/>
    <col min="44" max="44" width="2.5" style="161" customWidth="1"/>
    <col min="45" max="45" width="8.5" style="161" bestFit="1" customWidth="1"/>
    <col min="46" max="46" width="22.832031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55" width="8.5" style="161" bestFit="1" customWidth="1"/>
    <col min="56" max="16384" width="10.83203125" style="161"/>
  </cols>
  <sheetData>
    <row r="1" spans="2:55" ht="14" thickBot="1" x14ac:dyDescent="0.2"/>
    <row r="2" spans="2:55" ht="20" customHeight="1" thickTop="1" x14ac:dyDescent="0.2">
      <c r="B2" s="1420" t="str">
        <f>'État des Résultats'!C2</f>
        <v>Les Multiples Plaisirs gourmands</v>
      </c>
      <c r="C2" s="1421"/>
      <c r="AS2" s="1388" t="s">
        <v>42</v>
      </c>
      <c r="AT2" s="366"/>
      <c r="AU2" s="366"/>
      <c r="AV2" s="366"/>
      <c r="AW2" s="366"/>
      <c r="AX2" s="366"/>
      <c r="AY2" s="366"/>
      <c r="AZ2" s="366"/>
      <c r="BA2" s="366"/>
      <c r="BB2" s="366"/>
      <c r="BC2" s="1391" t="s">
        <v>43</v>
      </c>
    </row>
    <row r="3" spans="2:55" ht="20" customHeight="1" x14ac:dyDescent="0.2">
      <c r="B3" s="1422" t="str">
        <f>'État des Résultats'!C3</f>
        <v xml:space="preserve">États des résultats </v>
      </c>
      <c r="C3" s="1423"/>
      <c r="AS3" s="1389"/>
      <c r="AT3" s="367"/>
      <c r="AU3" s="367"/>
      <c r="AV3" s="367"/>
      <c r="AW3" s="367"/>
      <c r="AX3" s="367"/>
      <c r="AY3" s="367"/>
      <c r="AZ3" s="367"/>
      <c r="BA3" s="367"/>
      <c r="BB3" s="367"/>
      <c r="BC3" s="1392"/>
    </row>
    <row r="4" spans="2:55" ht="20" customHeight="1" thickBot="1" x14ac:dyDescent="0.3">
      <c r="B4" s="1424" t="str">
        <f>'État des Résultats'!C4</f>
        <v>Pour la période du 1er janvier 2021 au 31 décembre 2021</v>
      </c>
      <c r="C4" s="1425"/>
      <c r="AS4" s="1389"/>
      <c r="AT4" s="368" t="str">
        <f>'Formule pour le calcul D'!BA103</f>
        <v>Coût annuel</v>
      </c>
      <c r="AU4" s="368" t="s">
        <v>44</v>
      </c>
      <c r="AV4" s="368" t="str">
        <f>'Formule pour le calcul D'!BC103</f>
        <v>Achalandage annuelle</v>
      </c>
      <c r="AW4" s="368" t="s">
        <v>45</v>
      </c>
      <c r="AX4" s="368" t="s">
        <v>46</v>
      </c>
      <c r="AY4" s="368" t="str">
        <f>'Formule pour le calcul D'!BF103</f>
        <v>Um/A</v>
      </c>
      <c r="AZ4" s="368" t="s">
        <v>45</v>
      </c>
      <c r="BA4" s="368" t="str">
        <f>'Formule pour le calcul D'!BH103</f>
        <v>CmO</v>
      </c>
      <c r="BB4" s="368" t="s">
        <v>49</v>
      </c>
      <c r="BC4" s="1392"/>
    </row>
    <row r="5" spans="2:55" ht="21" thickTop="1" thickBot="1" x14ac:dyDescent="0.3">
      <c r="B5" s="327"/>
      <c r="C5" s="209"/>
      <c r="P5" s="209"/>
      <c r="AS5" s="1389"/>
      <c r="AT5" s="369" t="s">
        <v>2</v>
      </c>
      <c r="AU5" s="370"/>
      <c r="AV5" s="369"/>
      <c r="AW5" s="370"/>
      <c r="AX5" s="370"/>
      <c r="AY5" s="370"/>
      <c r="AZ5" s="370"/>
      <c r="BA5" s="370"/>
      <c r="BB5" s="370"/>
      <c r="BC5" s="1392"/>
    </row>
    <row r="6" spans="2:55" ht="27" thickTop="1" x14ac:dyDescent="0.3">
      <c r="B6" s="1426" t="str">
        <f>'État des Résultats'!C6</f>
        <v>Nb de places</v>
      </c>
      <c r="C6" s="1407"/>
      <c r="D6" s="200"/>
      <c r="E6" s="549" t="s">
        <v>170</v>
      </c>
      <c r="F6" s="548">
        <f>E69/$B$7/'Calendrier 2021'!D8</f>
        <v>30.084303942652333</v>
      </c>
      <c r="G6" s="170"/>
      <c r="H6" s="549" t="str">
        <f>+E6</f>
        <v>Coût / place / jour</v>
      </c>
      <c r="I6" s="548">
        <f>H69/$B$7/'Calendrier 2021'!E8</f>
        <v>32.40715168650793</v>
      </c>
      <c r="J6" s="170"/>
      <c r="K6" s="549" t="str">
        <f>+H6</f>
        <v>Coût / place / jour</v>
      </c>
      <c r="L6" s="548">
        <f>K69/$B$7/'Calendrier 2021'!F8</f>
        <v>32.204518548387099</v>
      </c>
      <c r="M6" s="170"/>
      <c r="N6" s="549" t="str">
        <f>+K6</f>
        <v>Coût / place / jour</v>
      </c>
      <c r="O6" s="548">
        <f>N69/$B$7/'Calendrier 2021'!G8</f>
        <v>34.741703669722227</v>
      </c>
      <c r="P6" s="379"/>
      <c r="Q6" s="378" t="str">
        <f>+N6</f>
        <v>Coût / place / jour</v>
      </c>
      <c r="R6" s="548">
        <f>Q69/$B$7/'Calendrier 2021'!H8</f>
        <v>35.921552458781356</v>
      </c>
      <c r="S6" s="379"/>
      <c r="T6" s="549" t="str">
        <f>+Q6</f>
        <v>Coût / place / jour</v>
      </c>
      <c r="U6" s="548">
        <f>T69/$B$7/'Calendrier 2021'!I8</f>
        <v>38.04300337148149</v>
      </c>
      <c r="V6" s="170"/>
      <c r="W6" s="549" t="str">
        <f>+T6</f>
        <v>Coût / place / jour</v>
      </c>
      <c r="X6" s="548">
        <f>W69/$B$7/'Calendrier 2021'!J8</f>
        <v>39.276667700537644</v>
      </c>
      <c r="Y6" s="587"/>
      <c r="Z6" s="549" t="str">
        <f>+W6</f>
        <v>Coût / place / jour</v>
      </c>
      <c r="AA6" s="548">
        <f>Z69/$B$7/'Calendrier 2021'!K8</f>
        <v>39.747402492473128</v>
      </c>
      <c r="AB6" s="170"/>
      <c r="AC6" s="549" t="str">
        <f>+Z6</f>
        <v>Coût / place / jour</v>
      </c>
      <c r="AD6" s="548">
        <f>AC69/$B$7/'Calendrier 2021'!L8</f>
        <v>37.875802512222222</v>
      </c>
      <c r="AE6" s="170"/>
      <c r="AF6" s="549" t="str">
        <f>+AC6</f>
        <v>Coût / place / jour</v>
      </c>
      <c r="AG6" s="548">
        <f>AF69/$B$7/'Calendrier 2021'!M8</f>
        <v>37.835662861469544</v>
      </c>
      <c r="AH6" s="587"/>
      <c r="AI6" s="549" t="str">
        <f>+AF6</f>
        <v>Coût / place / jour</v>
      </c>
      <c r="AJ6" s="548">
        <f>AI69/$B$7/'Calendrier 2021'!N8</f>
        <v>36.6039872524074</v>
      </c>
      <c r="AK6" s="601"/>
      <c r="AL6" s="549" t="str">
        <f>+AI6</f>
        <v>Coût / place / jour</v>
      </c>
      <c r="AM6" s="548">
        <f>AL69/$B$7/'Calendrier 2021'!O8</f>
        <v>38.964565461290327</v>
      </c>
      <c r="AN6" s="587"/>
      <c r="AO6" s="170"/>
      <c r="AP6" s="605" t="str">
        <f>+AL6</f>
        <v>Coût / place / jour</v>
      </c>
      <c r="AQ6" s="606">
        <f>AP69/$B$7/'% Occupation'!P8</f>
        <v>36.165506928302896</v>
      </c>
      <c r="AS6" s="1389"/>
      <c r="AT6" s="629" t="str">
        <f>'Formule pour le calcul D'!BA105</f>
        <v xml:space="preserve">C </v>
      </c>
      <c r="AU6" s="372"/>
      <c r="AV6" s="371" t="str">
        <f>'Formule pour le calcul D'!BC105</f>
        <v>A</v>
      </c>
      <c r="AW6" s="372"/>
      <c r="AX6" s="372"/>
      <c r="AY6" s="371" t="str">
        <f>AY4</f>
        <v>Um/A</v>
      </c>
      <c r="AZ6" s="372"/>
      <c r="BA6" s="371" t="str">
        <f>BA4</f>
        <v>CmO</v>
      </c>
      <c r="BB6" s="372"/>
      <c r="BC6" s="1392"/>
    </row>
    <row r="7" spans="2:55" ht="21" x14ac:dyDescent="0.25">
      <c r="B7" s="1427">
        <f>'État des Résultats'!C7</f>
        <v>30</v>
      </c>
      <c r="C7" s="1409"/>
      <c r="D7" s="190"/>
      <c r="E7" s="571">
        <f>E69/$AP$69</f>
        <v>7.0650337389924531E-2</v>
      </c>
      <c r="F7" s="572"/>
      <c r="G7" s="382"/>
      <c r="H7" s="571">
        <f>H69/$AP$69</f>
        <v>6.8740307705624351E-2</v>
      </c>
      <c r="I7" s="572"/>
      <c r="J7" s="382"/>
      <c r="K7" s="571">
        <f>K69/$AP$69</f>
        <v>7.562947460113438E-2</v>
      </c>
      <c r="L7" s="572"/>
      <c r="M7" s="382"/>
      <c r="N7" s="571">
        <f>N69/$AP$69</f>
        <v>7.8955964838616555E-2</v>
      </c>
      <c r="O7" s="572" t="s">
        <v>2</v>
      </c>
      <c r="P7" s="383"/>
      <c r="Q7" s="380">
        <f>Q69/$AP$69</f>
        <v>8.4358601269969385E-2</v>
      </c>
      <c r="R7" s="381"/>
      <c r="S7" s="383"/>
      <c r="T7" s="571">
        <f>T69/$AP$69</f>
        <v>8.6458685650808775E-2</v>
      </c>
      <c r="U7" s="572"/>
      <c r="V7" s="382"/>
      <c r="W7" s="571">
        <f>W69/$AP$69</f>
        <v>9.2237793830449194E-2</v>
      </c>
      <c r="X7" s="572"/>
      <c r="Y7" s="588"/>
      <c r="Z7" s="571">
        <f>Z69/$AP$69</f>
        <v>9.3343273017696293E-2</v>
      </c>
      <c r="AA7" s="572"/>
      <c r="AB7" s="382"/>
      <c r="AC7" s="571">
        <f>AC69/$AP$69</f>
        <v>8.6078695501501087E-2</v>
      </c>
      <c r="AD7" s="572"/>
      <c r="AE7" s="382"/>
      <c r="AF7" s="571">
        <f>AF69/$AP$69</f>
        <v>8.8853720918051313E-2</v>
      </c>
      <c r="AG7" s="572"/>
      <c r="AH7" s="588"/>
      <c r="AI7" s="571">
        <f>AI69/$AP$69</f>
        <v>8.3188296058520697E-2</v>
      </c>
      <c r="AJ7" s="572"/>
      <c r="AK7" s="602"/>
      <c r="AL7" s="571">
        <f>AL69/$AP$69</f>
        <v>9.1504849217703424E-2</v>
      </c>
      <c r="AM7" s="572"/>
      <c r="AN7" s="588"/>
      <c r="AO7" s="382"/>
      <c r="AP7" s="607">
        <f>SUM(+$AL7+$AI7+$AF7+$AC7+$Z7+$W7+$T7+$Q7+$N7+$K7+$H7+$E7)</f>
        <v>1</v>
      </c>
      <c r="AQ7" s="608"/>
      <c r="AR7" s="382"/>
      <c r="AS7" s="1389"/>
      <c r="AT7" s="630">
        <f>AP69</f>
        <v>396012.3008649167</v>
      </c>
      <c r="AU7" s="368" t="s">
        <v>44</v>
      </c>
      <c r="AV7" s="631">
        <f>'Formule pour le calcul D'!G106</f>
        <v>52000</v>
      </c>
      <c r="AW7" s="368" t="s">
        <v>45</v>
      </c>
      <c r="AX7" s="368" t="s">
        <v>46</v>
      </c>
      <c r="AY7" s="632">
        <f>'Formule pour le calcul D'!J106</f>
        <v>3.1499999999999995</v>
      </c>
      <c r="AZ7" s="368" t="s">
        <v>45</v>
      </c>
      <c r="BA7" s="633">
        <f>AT7/AV7/AY7</f>
        <v>2.4176575144378316</v>
      </c>
      <c r="BB7" s="368" t="s">
        <v>49</v>
      </c>
      <c r="BC7" s="1392"/>
    </row>
    <row r="8" spans="2:55" ht="17" thickBot="1" x14ac:dyDescent="0.25">
      <c r="B8" s="1428" t="s">
        <v>194</v>
      </c>
      <c r="C8" s="1411"/>
      <c r="D8" s="190"/>
      <c r="E8" s="594" t="str">
        <f>'État des Résultats'!E8</f>
        <v>Pér.01</v>
      </c>
      <c r="F8" s="582" t="str">
        <f>'État des Résultats'!F8</f>
        <v>(%)</v>
      </c>
      <c r="G8" s="187"/>
      <c r="H8" s="594" t="str">
        <f>'État des Résultats'!H8</f>
        <v>Pér.02</v>
      </c>
      <c r="I8" s="582" t="str">
        <f>F8</f>
        <v>(%)</v>
      </c>
      <c r="J8" s="187"/>
      <c r="K8" s="594" t="str">
        <f>'État des Résultats'!K8</f>
        <v>Pér.03</v>
      </c>
      <c r="L8" s="582" t="str">
        <f>I8</f>
        <v>(%)</v>
      </c>
      <c r="M8" s="187"/>
      <c r="N8" s="594" t="str">
        <f>'État des Résultats'!N8</f>
        <v>Pér.04</v>
      </c>
      <c r="O8" s="582" t="str">
        <f>L8</f>
        <v>(%)</v>
      </c>
      <c r="P8" s="386"/>
      <c r="Q8" s="384" t="str">
        <f>'État des Résultats'!Q8</f>
        <v>Pér.05</v>
      </c>
      <c r="R8" s="385" t="str">
        <f>O8</f>
        <v>(%)</v>
      </c>
      <c r="S8" s="386"/>
      <c r="T8" s="594" t="str">
        <f>'État des Résultats'!T8</f>
        <v>Pér.06</v>
      </c>
      <c r="U8" s="582" t="str">
        <f>R8</f>
        <v>(%)</v>
      </c>
      <c r="V8" s="187"/>
      <c r="W8" s="594" t="str">
        <f>'État des Résultats'!W8</f>
        <v>Pér.07</v>
      </c>
      <c r="X8" s="582" t="str">
        <f>U8</f>
        <v>(%)</v>
      </c>
      <c r="Y8" s="589"/>
      <c r="Z8" s="594" t="str">
        <f>'État des Résultats'!Z8</f>
        <v>Pér.08</v>
      </c>
      <c r="AA8" s="582" t="str">
        <f>X8</f>
        <v>(%)</v>
      </c>
      <c r="AB8" s="187"/>
      <c r="AC8" s="594" t="str">
        <f>'État des Résultats'!AC8</f>
        <v>Pér.09</v>
      </c>
      <c r="AD8" s="582" t="str">
        <f>AA8</f>
        <v>(%)</v>
      </c>
      <c r="AE8" s="187"/>
      <c r="AF8" s="594" t="str">
        <f>'État des Résultats'!AF8</f>
        <v>Pér.10</v>
      </c>
      <c r="AG8" s="582" t="str">
        <f>AD8</f>
        <v>(%)</v>
      </c>
      <c r="AH8" s="589"/>
      <c r="AI8" s="594" t="str">
        <f>'État des Résultats'!AI8</f>
        <v>Pér.11</v>
      </c>
      <c r="AJ8" s="582" t="str">
        <f>AG8</f>
        <v>(%)</v>
      </c>
      <c r="AK8" s="603"/>
      <c r="AL8" s="594" t="str">
        <f>'État des Résultats'!AL8</f>
        <v>Pér.12</v>
      </c>
      <c r="AM8" s="582" t="str">
        <f>AJ8</f>
        <v>(%)</v>
      </c>
      <c r="AN8" s="589"/>
      <c r="AO8" s="187"/>
      <c r="AP8" s="609" t="str">
        <f>'État des Résultats'!AP8</f>
        <v>Total</v>
      </c>
      <c r="AQ8" s="610" t="str">
        <f>AM8</f>
        <v>(%)</v>
      </c>
      <c r="AR8" s="187"/>
      <c r="AS8" s="1390"/>
      <c r="AT8" s="373"/>
      <c r="AU8" s="373"/>
      <c r="AV8" s="373"/>
      <c r="AW8" s="373"/>
      <c r="AX8" s="373"/>
      <c r="AY8" s="373"/>
      <c r="AZ8" s="373"/>
      <c r="BA8" s="373"/>
      <c r="BB8" s="373"/>
      <c r="BC8" s="1393"/>
    </row>
    <row r="9" spans="2:55" ht="15" thickTop="1" thickBot="1" x14ac:dyDescent="0.2">
      <c r="B9" s="1416">
        <f>AP69/B7</f>
        <v>13200.410028830556</v>
      </c>
      <c r="C9" s="1417"/>
      <c r="D9" s="190"/>
      <c r="E9" s="595" t="str">
        <f>'État des Résultats'!E9</f>
        <v>Janvier 2021</v>
      </c>
      <c r="F9" s="596"/>
      <c r="G9" s="388"/>
      <c r="H9" s="595" t="str">
        <f>'État des Résultats'!H9</f>
        <v>Février 2021</v>
      </c>
      <c r="I9" s="597"/>
      <c r="J9" s="388"/>
      <c r="K9" s="595" t="str">
        <f>'État des Résultats'!K9</f>
        <v>Mars 2021</v>
      </c>
      <c r="L9" s="597"/>
      <c r="M9" s="388"/>
      <c r="N9" s="595" t="str">
        <f>'État des Résultats'!N9</f>
        <v>Avril 2021</v>
      </c>
      <c r="O9" s="598"/>
      <c r="P9" s="390"/>
      <c r="Q9" s="387" t="str">
        <f>'État des Résultats'!Q9</f>
        <v>Mai 2021</v>
      </c>
      <c r="R9" s="389"/>
      <c r="S9" s="390"/>
      <c r="T9" s="599" t="str">
        <f>'État des Résultats'!T9</f>
        <v>Juin 2021</v>
      </c>
      <c r="U9" s="597"/>
      <c r="V9" s="388"/>
      <c r="W9" s="599" t="str">
        <f>'État des Résultats'!W9</f>
        <v>Juillet 2021</v>
      </c>
      <c r="X9" s="597"/>
      <c r="Y9" s="589"/>
      <c r="Z9" s="599" t="str">
        <f>'État des Résultats'!Z9</f>
        <v>Août 2021</v>
      </c>
      <c r="AA9" s="597"/>
      <c r="AB9" s="388"/>
      <c r="AC9" s="599" t="str">
        <f>'État des Résultats'!AC9</f>
        <v>Septembre 2021</v>
      </c>
      <c r="AD9" s="597"/>
      <c r="AE9" s="388"/>
      <c r="AF9" s="599" t="str">
        <f>'État des Résultats'!AF9</f>
        <v>Octobre 2021</v>
      </c>
      <c r="AG9" s="597"/>
      <c r="AH9" s="600"/>
      <c r="AI9" s="599" t="str">
        <f>'État des Résultats'!AI9</f>
        <v>Novembre 2021</v>
      </c>
      <c r="AJ9" s="597"/>
      <c r="AK9" s="604"/>
      <c r="AL9" s="599" t="str">
        <f>'État des Résultats'!AL9</f>
        <v>Décembre 2021</v>
      </c>
      <c r="AM9" s="597"/>
      <c r="AN9" s="600"/>
      <c r="AO9" s="388"/>
      <c r="AP9" s="611" t="str">
        <f>'État des Résultats'!AP9</f>
        <v>Année</v>
      </c>
      <c r="AQ9" s="612"/>
      <c r="AR9" s="388"/>
      <c r="AS9"/>
      <c r="AT9" s="388"/>
    </row>
    <row r="10" spans="2:55" ht="15" thickTop="1" thickBot="1" x14ac:dyDescent="0.2">
      <c r="B10" s="472"/>
      <c r="C10" s="473"/>
      <c r="D10" s="474"/>
      <c r="E10" s="475"/>
      <c r="F10" s="476"/>
      <c r="G10" s="474"/>
      <c r="H10" s="477"/>
      <c r="I10" s="478"/>
      <c r="J10" s="474"/>
      <c r="K10" s="477"/>
      <c r="L10" s="478"/>
      <c r="M10" s="474"/>
      <c r="N10" s="477"/>
      <c r="O10" s="478"/>
      <c r="P10" s="479"/>
      <c r="Q10" s="477"/>
      <c r="R10" s="478"/>
      <c r="S10" s="474"/>
      <c r="T10" s="477"/>
      <c r="U10" s="478"/>
      <c r="V10" s="474"/>
      <c r="W10" s="477"/>
      <c r="X10" s="478"/>
      <c r="Y10" s="474"/>
      <c r="Z10" s="477"/>
      <c r="AA10" s="478"/>
      <c r="AB10" s="474"/>
      <c r="AC10" s="477"/>
      <c r="AD10" s="478"/>
      <c r="AE10" s="474"/>
      <c r="AF10" s="477"/>
      <c r="AG10" s="478"/>
      <c r="AH10" s="474"/>
      <c r="AI10" s="477"/>
      <c r="AJ10" s="478"/>
      <c r="AK10" s="474"/>
      <c r="AL10" s="477"/>
      <c r="AM10" s="478"/>
      <c r="AN10" s="474"/>
      <c r="AO10" s="474"/>
      <c r="AP10" s="480"/>
      <c r="AQ10" s="481"/>
    </row>
    <row r="11" spans="2:55" ht="18" customHeight="1" thickTop="1" thickBot="1" x14ac:dyDescent="0.2">
      <c r="B11" s="496"/>
      <c r="C11" s="497" t="str">
        <f>' Total des coûts de MO'!C13</f>
        <v>Salaires "Management"</v>
      </c>
      <c r="D11" s="190"/>
      <c r="E11" s="499"/>
      <c r="F11" s="500"/>
      <c r="H11" s="499"/>
      <c r="I11" s="500"/>
      <c r="K11" s="499"/>
      <c r="L11" s="500"/>
      <c r="N11" s="832"/>
      <c r="O11" s="500"/>
      <c r="Q11" s="499"/>
      <c r="R11" s="500"/>
      <c r="T11" s="499"/>
      <c r="U11" s="500"/>
      <c r="W11" s="499"/>
      <c r="X11" s="500"/>
      <c r="Z11" s="499"/>
      <c r="AA11" s="500"/>
      <c r="AC11" s="499"/>
      <c r="AD11" s="500"/>
      <c r="AF11" s="499"/>
      <c r="AG11" s="500"/>
      <c r="AI11" s="499"/>
      <c r="AJ11" s="500"/>
      <c r="AK11" s="200"/>
      <c r="AL11" s="499"/>
      <c r="AM11" s="500"/>
      <c r="AP11" s="501"/>
      <c r="AQ11" s="502"/>
    </row>
    <row r="12" spans="2:55" ht="14" thickTop="1" x14ac:dyDescent="0.15">
      <c r="B12" s="190">
        <f>' Total des coûts de MO'!B13</f>
        <v>6110</v>
      </c>
      <c r="C12" s="391" t="str">
        <f>' Total des coûts de MO'!C11</f>
        <v>Salaires</v>
      </c>
      <c r="D12" s="190"/>
      <c r="E12" s="817">
        <v>500</v>
      </c>
      <c r="F12" s="459">
        <f>E12/'État des Résultats'!E14</f>
        <v>6.8505663134819138E-3</v>
      </c>
      <c r="G12" s="392">
        <v>2.0471491084515695E-6</v>
      </c>
      <c r="H12" s="817">
        <f>+E12</f>
        <v>500</v>
      </c>
      <c r="I12" s="459">
        <f>H12/'État des Résultats'!H14</f>
        <v>7.0677205423297562E-3</v>
      </c>
      <c r="K12" s="817">
        <f>+H12</f>
        <v>500</v>
      </c>
      <c r="L12" s="459">
        <f>K12/'État des Résultats'!K14</f>
        <v>6.3425617606951449E-3</v>
      </c>
      <c r="N12" s="817">
        <f>+K12</f>
        <v>500</v>
      </c>
      <c r="O12" s="459">
        <f>N12/'État des Résultats'!N14</f>
        <v>6.0431711455982131E-3</v>
      </c>
      <c r="Q12" s="817">
        <f>+N12</f>
        <v>500</v>
      </c>
      <c r="R12" s="459">
        <f>Q12/'État des Résultats'!Q14</f>
        <v>5.6128649859004832E-3</v>
      </c>
      <c r="T12" s="817">
        <f>+Q12</f>
        <v>500</v>
      </c>
      <c r="U12" s="459">
        <f>T12/'État des Résultats'!T14</f>
        <v>5.461693122683354E-3</v>
      </c>
      <c r="W12" s="817">
        <f>+T12</f>
        <v>500</v>
      </c>
      <c r="X12" s="459">
        <f>W12/'État des Résultats'!W14</f>
        <v>5.0848273785004637E-3</v>
      </c>
      <c r="Z12" s="817">
        <f>+W12</f>
        <v>500</v>
      </c>
      <c r="AA12" s="459">
        <f>Z12/'État des Résultats'!Z14</f>
        <v>5.0185858307656575E-3</v>
      </c>
      <c r="AC12" s="817">
        <f>+Z12</f>
        <v>500</v>
      </c>
      <c r="AD12" s="459">
        <f>AC12/'État des Résultats'!AC14</f>
        <v>5.4884398637681407E-3</v>
      </c>
      <c r="AF12" s="817">
        <f>+AC12</f>
        <v>500</v>
      </c>
      <c r="AG12" s="459">
        <f>AF12/'État des Résultats'!AF14</f>
        <v>5.2989322881059854E-3</v>
      </c>
      <c r="AI12" s="817">
        <f>+AF12</f>
        <v>500</v>
      </c>
      <c r="AJ12" s="459">
        <f>AI12/'État des Résultats'!AI14</f>
        <v>5.7007958938155318E-3</v>
      </c>
      <c r="AK12" s="200"/>
      <c r="AL12" s="817">
        <f>+AI12</f>
        <v>500</v>
      </c>
      <c r="AM12" s="459">
        <f>AL12/'État des Résultats'!AL14</f>
        <v>5.1297187898418839E-3</v>
      </c>
      <c r="AP12" s="834">
        <f>SUM(+$AL12+$AI12+$AF12+$AC12+$Z12+$W12+$T12+$Q12+$N12+$K12+$H12+$E12)</f>
        <v>6000</v>
      </c>
      <c r="AQ12" s="456">
        <f>AP12/'État des Résultats'!AP14</f>
        <v>5.6897492441608695E-3</v>
      </c>
    </row>
    <row r="13" spans="2:55" x14ac:dyDescent="0.15">
      <c r="B13" s="190">
        <f>' Total des coûts de MO'!B27</f>
        <v>6205</v>
      </c>
      <c r="C13" s="391" t="str">
        <f>' Total des coûts de MO'!C27</f>
        <v>Bénéfices gouvernementaux</v>
      </c>
      <c r="D13" s="190"/>
      <c r="E13" s="818">
        <f>+E12*$H$76</f>
        <v>55</v>
      </c>
      <c r="F13" s="393">
        <f>E13/'État des Résultats'!E14</f>
        <v>7.5356229448301051E-4</v>
      </c>
      <c r="H13" s="818">
        <f>+H12*$H$76</f>
        <v>55</v>
      </c>
      <c r="I13" s="393">
        <f>H13/'État des Résultats'!H14</f>
        <v>7.7744925965627309E-4</v>
      </c>
      <c r="K13" s="818">
        <f>+K12*$H$76</f>
        <v>55</v>
      </c>
      <c r="L13" s="393">
        <f>K13/'État des Résultats'!K14</f>
        <v>6.9768179367646593E-4</v>
      </c>
      <c r="N13" s="818">
        <f>+N12*$H$76</f>
        <v>55</v>
      </c>
      <c r="O13" s="393">
        <f>N13/'État des Résultats'!N14</f>
        <v>6.6474882601580344E-4</v>
      </c>
      <c r="Q13" s="818">
        <f>+Q12*$H$76</f>
        <v>55</v>
      </c>
      <c r="R13" s="393">
        <f>Q13/'État des Résultats'!Q14</f>
        <v>6.1741514844905314E-4</v>
      </c>
      <c r="T13" s="818">
        <f>+T12*$H$76</f>
        <v>55</v>
      </c>
      <c r="U13" s="393">
        <f>T13/'État des Résultats'!T14</f>
        <v>6.0078624349516898E-4</v>
      </c>
      <c r="W13" s="818">
        <f>+W12*$H$76</f>
        <v>55</v>
      </c>
      <c r="X13" s="393">
        <f>W13/'État des Résultats'!W14</f>
        <v>5.5933101163505104E-4</v>
      </c>
      <c r="Z13" s="818">
        <f>+Z12*$H$76</f>
        <v>55</v>
      </c>
      <c r="AA13" s="393">
        <f>Z13/'État des Résultats'!Z14</f>
        <v>5.5204444138422226E-4</v>
      </c>
      <c r="AC13" s="818">
        <f>+AC12*$H$76</f>
        <v>55</v>
      </c>
      <c r="AD13" s="393">
        <f>AC13/'État des Résultats'!AC14</f>
        <v>6.0372838501449543E-4</v>
      </c>
      <c r="AF13" s="818">
        <f>+AF12*$H$76</f>
        <v>55</v>
      </c>
      <c r="AG13" s="393">
        <f>AF13/'État des Résultats'!AF14</f>
        <v>5.8288255169165846E-4</v>
      </c>
      <c r="AI13" s="818">
        <f>+AI12*$H$76</f>
        <v>55</v>
      </c>
      <c r="AJ13" s="393">
        <f>AI13/'État des Résultats'!AI14</f>
        <v>6.2708754831970845E-4</v>
      </c>
      <c r="AK13" s="200"/>
      <c r="AL13" s="818">
        <f>+AL12*$H$76</f>
        <v>55</v>
      </c>
      <c r="AM13" s="393">
        <f>AL13/'État des Résultats'!AL14</f>
        <v>5.6426906688260726E-4</v>
      </c>
      <c r="AP13" s="834">
        <f>SUM(+$AL13+$AI13+$AF13+$AC13+$Z13+$W13+$T13+$Q13+$N13+$K13+$H13+$E13)</f>
        <v>660</v>
      </c>
      <c r="AQ13" s="457">
        <f>AP13/'État des Résultats'!AP14</f>
        <v>6.2587241685769569E-4</v>
      </c>
    </row>
    <row r="14" spans="2:55" ht="14" thickBot="1" x14ac:dyDescent="0.2">
      <c r="B14" s="190">
        <f>' Total des coûts de MO'!B31</f>
        <v>6245</v>
      </c>
      <c r="C14" s="391" t="str">
        <f>' Total des coûts de MO'!C31</f>
        <v>CSST et CNT</v>
      </c>
      <c r="D14" s="190"/>
      <c r="E14" s="818">
        <f>(E12)*$F$72</f>
        <v>5</v>
      </c>
      <c r="F14" s="393">
        <f>E14/'État des Résultats'!E14</f>
        <v>6.8505663134819147E-5</v>
      </c>
      <c r="H14" s="818">
        <f>(H12)*$F$72</f>
        <v>5</v>
      </c>
      <c r="I14" s="393">
        <f>H14/'État des Résultats'!H14</f>
        <v>7.0677205423297555E-5</v>
      </c>
      <c r="K14" s="818">
        <f>(K12)*$F$72</f>
        <v>5</v>
      </c>
      <c r="L14" s="393">
        <f>K14/'État des Résultats'!K14</f>
        <v>6.3425617606951444E-5</v>
      </c>
      <c r="N14" s="818">
        <f>(N12)*$F$72</f>
        <v>5</v>
      </c>
      <c r="O14" s="393">
        <f>N14/'État des Résultats'!N14</f>
        <v>6.0431711455982131E-5</v>
      </c>
      <c r="Q14" s="818">
        <f>(Q12)*$F$72</f>
        <v>5</v>
      </c>
      <c r="R14" s="393">
        <f>Q14/'État des Résultats'!Q14</f>
        <v>5.6128649859004834E-5</v>
      </c>
      <c r="T14" s="818">
        <f>(T12)*$F$72</f>
        <v>5</v>
      </c>
      <c r="U14" s="393">
        <f>T14/'État des Résultats'!T14</f>
        <v>5.461693122683354E-5</v>
      </c>
      <c r="W14" s="818">
        <f>(W12)*$F$72</f>
        <v>5</v>
      </c>
      <c r="X14" s="393">
        <f>W14/'État des Résultats'!W14</f>
        <v>5.0848273785004642E-5</v>
      </c>
      <c r="Z14" s="818">
        <f>(Z12)*$F$72</f>
        <v>5</v>
      </c>
      <c r="AA14" s="393">
        <f>Z14/'État des Résultats'!Z14</f>
        <v>5.0185858307656571E-5</v>
      </c>
      <c r="AC14" s="818">
        <f>(AC12)*$F$72</f>
        <v>5</v>
      </c>
      <c r="AD14" s="393">
        <f>AC14/'État des Résultats'!AC14</f>
        <v>5.4884398637681409E-5</v>
      </c>
      <c r="AF14" s="818">
        <f>(AF12)*$F$72</f>
        <v>5</v>
      </c>
      <c r="AG14" s="393">
        <f>AF14/'État des Résultats'!AF14</f>
        <v>5.2989322881059858E-5</v>
      </c>
      <c r="AI14" s="818">
        <f>(AI12)*$F$72</f>
        <v>5</v>
      </c>
      <c r="AJ14" s="393">
        <f>AI14/'État des Résultats'!AI14</f>
        <v>5.7007958938155314E-5</v>
      </c>
      <c r="AK14" s="200"/>
      <c r="AL14" s="818">
        <f>(AL12)*$F$72</f>
        <v>5</v>
      </c>
      <c r="AM14" s="393">
        <f>AL14/'État des Résultats'!AL14</f>
        <v>5.1297187898418843E-5</v>
      </c>
      <c r="AP14" s="834">
        <f>SUM(+$AL14+$AI14+$AF14+$AC14+$Z14+$W14+$T14+$Q14+$N14+$K14+$H14+$E14)</f>
        <v>60</v>
      </c>
      <c r="AQ14" s="457">
        <f>AP14/'État des Résultats'!AP14</f>
        <v>5.6897492441608698E-5</v>
      </c>
    </row>
    <row r="15" spans="2:55" ht="15" thickTop="1" thickBot="1" x14ac:dyDescent="0.2">
      <c r="B15" s="469"/>
      <c r="C15" s="470" t="s">
        <v>217</v>
      </c>
      <c r="D15" s="396"/>
      <c r="E15" s="819">
        <f>SUM(E12:E14)</f>
        <v>560</v>
      </c>
      <c r="F15" s="397">
        <f>E15/'État des Résultats'!E14</f>
        <v>7.6726342710997436E-3</v>
      </c>
      <c r="G15" s="213"/>
      <c r="H15" s="819">
        <f>SUM(H12:H14)</f>
        <v>560</v>
      </c>
      <c r="I15" s="397">
        <f>H15/'État des Résultats'!H14</f>
        <v>7.9158470074093268E-3</v>
      </c>
      <c r="J15" s="213"/>
      <c r="K15" s="819">
        <f>SUM(K12:K14)</f>
        <v>560</v>
      </c>
      <c r="L15" s="397">
        <f>K15/'État des Résultats'!K14</f>
        <v>7.1036691719785624E-3</v>
      </c>
      <c r="M15" s="213"/>
      <c r="N15" s="819">
        <f>SUM(N12:N14)</f>
        <v>560</v>
      </c>
      <c r="O15" s="397">
        <f>N15/'État des Résultats'!N14</f>
        <v>6.7683516830699987E-3</v>
      </c>
      <c r="P15" s="213"/>
      <c r="Q15" s="819">
        <f>SUM(Q12:Q14)</f>
        <v>560</v>
      </c>
      <c r="R15" s="397">
        <f>Q15/'État des Résultats'!Q14</f>
        <v>6.2864087842085413E-3</v>
      </c>
      <c r="S15" s="213"/>
      <c r="T15" s="819">
        <f>SUM(T12:T14)</f>
        <v>560</v>
      </c>
      <c r="U15" s="397">
        <f>T15/'État des Résultats'!T14</f>
        <v>6.1170962974053571E-3</v>
      </c>
      <c r="V15" s="213"/>
      <c r="W15" s="819">
        <f>SUM(W12:W14)</f>
        <v>560</v>
      </c>
      <c r="X15" s="397">
        <f>W15/'État des Résultats'!W14</f>
        <v>5.69500666392052E-3</v>
      </c>
      <c r="Y15" s="213"/>
      <c r="Z15" s="819">
        <f>SUM(Z12:Z14)</f>
        <v>560</v>
      </c>
      <c r="AA15" s="397">
        <f>Z15/'État des Résultats'!Z14</f>
        <v>5.6208161304575361E-3</v>
      </c>
      <c r="AB15" s="213"/>
      <c r="AC15" s="819">
        <f>SUM(AC12:AC14)</f>
        <v>560</v>
      </c>
      <c r="AD15" s="397">
        <f>AC15/'État des Résultats'!AC14</f>
        <v>6.1470526474203179E-3</v>
      </c>
      <c r="AE15" s="213"/>
      <c r="AF15" s="819">
        <f>SUM(AF12:AF14)</f>
        <v>560</v>
      </c>
      <c r="AG15" s="397">
        <f>AF15/'État des Résultats'!AF14</f>
        <v>5.934804162678704E-3</v>
      </c>
      <c r="AH15" s="213"/>
      <c r="AI15" s="819">
        <f>SUM(AI12:AI14)</f>
        <v>560</v>
      </c>
      <c r="AJ15" s="397">
        <f>AI15/'État des Résultats'!AI14</f>
        <v>6.3848914010733952E-3</v>
      </c>
      <c r="AK15" s="398"/>
      <c r="AL15" s="819">
        <f>SUM(AL12:AL14)</f>
        <v>560</v>
      </c>
      <c r="AM15" s="397">
        <f>AL15/'État des Résultats'!AL14</f>
        <v>5.7452850446229106E-3</v>
      </c>
      <c r="AN15" s="213"/>
      <c r="AO15" s="213"/>
      <c r="AP15" s="835">
        <f>SUM(AP12:AP14)</f>
        <v>6720</v>
      </c>
      <c r="AQ15" s="510">
        <f>+SUM(AQ12:AQ14)</f>
        <v>6.3725191534601735E-3</v>
      </c>
      <c r="AR15" s="251"/>
      <c r="AS15" s="251"/>
      <c r="AT15" s="251"/>
      <c r="AU15" s="251"/>
      <c r="AV15" s="251"/>
      <c r="AW15" s="251"/>
    </row>
    <row r="16" spans="2:55" ht="15" thickTop="1" thickBot="1" x14ac:dyDescent="0.2">
      <c r="B16" s="474"/>
      <c r="C16" s="474" t="s">
        <v>2</v>
      </c>
      <c r="D16" s="474"/>
      <c r="E16" s="820"/>
      <c r="F16" s="482"/>
      <c r="G16" s="474"/>
      <c r="H16" s="820"/>
      <c r="I16" s="482"/>
      <c r="J16" s="474"/>
      <c r="K16" s="820"/>
      <c r="L16" s="482"/>
      <c r="M16" s="474"/>
      <c r="N16" s="820"/>
      <c r="O16" s="482"/>
      <c r="P16" s="474"/>
      <c r="Q16" s="820"/>
      <c r="R16" s="482"/>
      <c r="S16" s="474"/>
      <c r="T16" s="820"/>
      <c r="U16" s="482"/>
      <c r="V16" s="474"/>
      <c r="W16" s="820"/>
      <c r="X16" s="482"/>
      <c r="Y16" s="474"/>
      <c r="Z16" s="820"/>
      <c r="AA16" s="482"/>
      <c r="AB16" s="474"/>
      <c r="AC16" s="820"/>
      <c r="AD16" s="482"/>
      <c r="AE16" s="474"/>
      <c r="AF16" s="820"/>
      <c r="AG16" s="482"/>
      <c r="AH16" s="474"/>
      <c r="AI16" s="820"/>
      <c r="AJ16" s="482"/>
      <c r="AK16" s="474"/>
      <c r="AL16" s="820"/>
      <c r="AM16" s="482"/>
      <c r="AN16" s="474"/>
      <c r="AO16" s="474"/>
      <c r="AP16" s="813"/>
      <c r="AQ16" s="483"/>
    </row>
    <row r="17" spans="2:69" ht="15" thickTop="1" thickBot="1" x14ac:dyDescent="0.2">
      <c r="B17" s="504"/>
      <c r="C17" s="497" t="str">
        <f>' Total des coûts de MO'!C14</f>
        <v>Salaire "Production"</v>
      </c>
      <c r="D17" s="190"/>
      <c r="E17" s="821"/>
      <c r="F17" s="498"/>
      <c r="H17" s="821"/>
      <c r="I17" s="498"/>
      <c r="K17" s="821"/>
      <c r="L17" s="498"/>
      <c r="N17" s="821"/>
      <c r="O17" s="498"/>
      <c r="Q17" s="821"/>
      <c r="R17" s="498"/>
      <c r="T17" s="821"/>
      <c r="U17" s="498"/>
      <c r="W17" s="821"/>
      <c r="X17" s="498"/>
      <c r="Z17" s="821"/>
      <c r="AA17" s="498"/>
      <c r="AC17" s="821"/>
      <c r="AD17" s="498"/>
      <c r="AF17" s="821"/>
      <c r="AG17" s="498"/>
      <c r="AI17" s="821"/>
      <c r="AJ17" s="498"/>
      <c r="AK17" s="200"/>
      <c r="AL17" s="821"/>
      <c r="AM17" s="498"/>
      <c r="AP17" s="836"/>
      <c r="AQ17" s="498"/>
    </row>
    <row r="18" spans="2:69" ht="14" thickTop="1" x14ac:dyDescent="0.15">
      <c r="B18" s="190">
        <f>' Total des coûts de MO'!B14</f>
        <v>6120</v>
      </c>
      <c r="C18" s="391" t="str">
        <f>' Total des coûts de MO'!C11</f>
        <v>Salaires</v>
      </c>
      <c r="D18" s="190"/>
      <c r="E18" s="822">
        <f>(0.17*'État des Résultats'!E14)</f>
        <v>12407.733333333335</v>
      </c>
      <c r="F18" s="460">
        <f>+E18/'État des Résultats'!E14</f>
        <v>0.17</v>
      </c>
      <c r="H18" s="822">
        <f>(0.17*'État des Résultats'!H14)</f>
        <v>12026.508333333335</v>
      </c>
      <c r="I18" s="460">
        <f>+H18/'État des Résultats'!H14</f>
        <v>0.17</v>
      </c>
      <c r="K18" s="822">
        <f>(0.17*'État des Résultats'!K14)</f>
        <v>13401.525000000001</v>
      </c>
      <c r="L18" s="460">
        <f>+K18/'État des Résultats'!K14</f>
        <v>0.17</v>
      </c>
      <c r="N18" s="822">
        <f>(0.17*'État des Résultats'!N14)</f>
        <v>14065.462975000002</v>
      </c>
      <c r="O18" s="460">
        <f>+N18/'État des Résultats'!N14</f>
        <v>0.17</v>
      </c>
      <c r="Q18" s="822">
        <f>(0.17*'État des Résultats'!Q14)</f>
        <v>15143.781333333334</v>
      </c>
      <c r="R18" s="460">
        <f>+Q18/'État des Résultats'!Q14</f>
        <v>0.17</v>
      </c>
      <c r="T18" s="822">
        <f>(0.17*'État des Résultats'!T14)</f>
        <v>15562.939566666668</v>
      </c>
      <c r="U18" s="460">
        <f>+T18/'État des Résultats'!T14</f>
        <v>0.17</v>
      </c>
      <c r="W18" s="822">
        <f>(0.17*'État des Résultats'!W14)</f>
        <v>16716.398350000003</v>
      </c>
      <c r="X18" s="460">
        <f>+W18/'État des Résultats'!W14</f>
        <v>0.17</v>
      </c>
      <c r="Z18" s="822">
        <f>(0.17*'État des Résultats'!Z14)</f>
        <v>16937.042200000004</v>
      </c>
      <c r="AA18" s="460">
        <f>+Z18/'État des Résultats'!Z14</f>
        <v>0.17000000000000004</v>
      </c>
      <c r="AC18" s="822">
        <f>(0.17*'État des Résultats'!AC14)</f>
        <v>15487.096900000002</v>
      </c>
      <c r="AD18" s="460">
        <f>+AC18/'État des Résultats'!AC14</f>
        <v>0.17</v>
      </c>
      <c r="AF18" s="822">
        <f>(0.17*'État des Résultats'!AF14)</f>
        <v>16040.967383333336</v>
      </c>
      <c r="AG18" s="460">
        <f>+AF18/'État des Résultats'!AF14</f>
        <v>0.17</v>
      </c>
      <c r="AI18" s="822">
        <f>(0.17*'État des Résultats'!AI14)</f>
        <v>14910.198783333335</v>
      </c>
      <c r="AJ18" s="460">
        <f>+AI18/'État des Résultats'!AI14</f>
        <v>0.17</v>
      </c>
      <c r="AK18" s="200"/>
      <c r="AL18" s="822">
        <f>(0.17*'État des Résultats'!AL14)</f>
        <v>16570.109100000001</v>
      </c>
      <c r="AM18" s="460">
        <f>+AL18/'État des Résultats'!AL14</f>
        <v>0.16999999999999998</v>
      </c>
      <c r="AP18" s="811">
        <f>SUM(+$AL18+$AI18+$AF18+$AC18+$Z18+$W18+$T18+$Q18+$N18+$K18+$H18+$E18)</f>
        <v>179269.76325833335</v>
      </c>
      <c r="AQ18" s="457">
        <f>AP18/'État des Résultats'!AP14</f>
        <v>0.17000000000000004</v>
      </c>
    </row>
    <row r="19" spans="2:69" x14ac:dyDescent="0.15">
      <c r="B19" s="190">
        <f>B13</f>
        <v>6205</v>
      </c>
      <c r="C19" s="391" t="str">
        <f>' Total des coûts de MO'!C27</f>
        <v>Bénéfices gouvernementaux</v>
      </c>
      <c r="D19" s="190"/>
      <c r="E19" s="818">
        <f>+E18*$H$76</f>
        <v>1364.8506666666669</v>
      </c>
      <c r="F19" s="393">
        <f>E19/'État des Résultats'!E14</f>
        <v>1.8700000000000001E-2</v>
      </c>
      <c r="H19" s="818">
        <f>+H18*$H$76</f>
        <v>1322.9159166666668</v>
      </c>
      <c r="I19" s="393">
        <f>H19/'État des Résultats'!H14</f>
        <v>1.8700000000000001E-2</v>
      </c>
      <c r="K19" s="818">
        <f>+K18*$H$76</f>
        <v>1474.1677500000001</v>
      </c>
      <c r="L19" s="393">
        <f>K19/'État des Résultats'!K14</f>
        <v>1.8700000000000001E-2</v>
      </c>
      <c r="N19" s="818">
        <f>+N18*$H$76</f>
        <v>1547.2009272500002</v>
      </c>
      <c r="O19" s="393">
        <f>N19/'État des Résultats'!N14</f>
        <v>1.8700000000000001E-2</v>
      </c>
      <c r="Q19" s="818">
        <f>+Q18*$H$76</f>
        <v>1665.8159466666668</v>
      </c>
      <c r="R19" s="393">
        <f>Q19/'État des Résultats'!Q14</f>
        <v>1.8700000000000001E-2</v>
      </c>
      <c r="T19" s="818">
        <f>+T18*$H$76</f>
        <v>1711.9233523333335</v>
      </c>
      <c r="U19" s="393">
        <f>T19/'État des Résultats'!T14</f>
        <v>1.8700000000000001E-2</v>
      </c>
      <c r="W19" s="818">
        <f>+W18*$H$76</f>
        <v>1838.8038185000003</v>
      </c>
      <c r="X19" s="393">
        <f>W19/'État des Résultats'!W14</f>
        <v>1.8699999999999998E-2</v>
      </c>
      <c r="Z19" s="818">
        <f>+Z18*$H$76</f>
        <v>1863.0746420000005</v>
      </c>
      <c r="AA19" s="393">
        <f>Z19/'État des Résultats'!Z14</f>
        <v>1.8700000000000005E-2</v>
      </c>
      <c r="AC19" s="818">
        <f>+AC18*$H$76</f>
        <v>1703.5806590000002</v>
      </c>
      <c r="AD19" s="393">
        <f>AC19/'État des Résultats'!AC14</f>
        <v>1.8700000000000001E-2</v>
      </c>
      <c r="AF19" s="818">
        <f>+AF18*$H$76</f>
        <v>1764.5064121666669</v>
      </c>
      <c r="AG19" s="393">
        <f>AF19/'État des Résultats'!AF14</f>
        <v>1.8699999999999998E-2</v>
      </c>
      <c r="AI19" s="818">
        <f>+AI18*$H$76</f>
        <v>1640.1218661666669</v>
      </c>
      <c r="AJ19" s="393">
        <f>AI19/'État des Résultats'!AI14</f>
        <v>1.8700000000000001E-2</v>
      </c>
      <c r="AK19" s="200"/>
      <c r="AL19" s="818">
        <f>+AL18*$H$76</f>
        <v>1822.7120010000001</v>
      </c>
      <c r="AM19" s="393">
        <f>AL19/'État des Résultats'!AL14</f>
        <v>1.8699999999999998E-2</v>
      </c>
      <c r="AP19" s="811">
        <f>SUM(+$AL19+$AI19+$AF19+$AC19+$Z19+$W19+$T19+$Q19+$N19+$K19+$H19+$E19)</f>
        <v>19719.673958416664</v>
      </c>
      <c r="AQ19" s="457">
        <f>AP19/'État des Résultats'!AP14</f>
        <v>1.8700000000000001E-2</v>
      </c>
    </row>
    <row r="20" spans="2:69" ht="14" thickBot="1" x14ac:dyDescent="0.2">
      <c r="B20" s="190">
        <f>B14</f>
        <v>6245</v>
      </c>
      <c r="C20" s="391" t="str">
        <f>' Total des coûts de MO'!C31</f>
        <v>CSST et CNT</v>
      </c>
      <c r="D20" s="190"/>
      <c r="E20" s="818">
        <f>(E18)*$F$72</f>
        <v>124.07733333333336</v>
      </c>
      <c r="F20" s="393">
        <f>E20/'État des Résultats'!E14</f>
        <v>1.7000000000000001E-3</v>
      </c>
      <c r="H20" s="818">
        <f>(H18)*$F$72</f>
        <v>120.26508333333335</v>
      </c>
      <c r="I20" s="393">
        <f>H20/'État des Résultats'!H14</f>
        <v>1.7000000000000001E-3</v>
      </c>
      <c r="K20" s="818">
        <f>(K18)*$F$72</f>
        <v>134.01525000000001</v>
      </c>
      <c r="L20" s="393">
        <f>K20/'État des Résultats'!K14</f>
        <v>1.7000000000000001E-3</v>
      </c>
      <c r="N20" s="818">
        <f>(N18)*$F$72</f>
        <v>140.65462975000003</v>
      </c>
      <c r="O20" s="393">
        <f>N20/'État des Résultats'!N14</f>
        <v>1.7000000000000003E-3</v>
      </c>
      <c r="Q20" s="818">
        <f>(Q18)*$F$72</f>
        <v>151.43781333333334</v>
      </c>
      <c r="R20" s="393">
        <f>Q20/'État des Résultats'!Q14</f>
        <v>1.7000000000000001E-3</v>
      </c>
      <c r="T20" s="818">
        <f>(T18)*$F$72</f>
        <v>155.62939566666668</v>
      </c>
      <c r="U20" s="393">
        <f>T20/'État des Résultats'!T14</f>
        <v>1.7000000000000001E-3</v>
      </c>
      <c r="W20" s="818">
        <f>(W18)*$F$72</f>
        <v>167.16398350000003</v>
      </c>
      <c r="X20" s="393">
        <f>W20/'État des Résultats'!W14</f>
        <v>1.6999999999999999E-3</v>
      </c>
      <c r="Z20" s="818">
        <f>(Z18)*$F$72</f>
        <v>169.37042200000005</v>
      </c>
      <c r="AA20" s="393">
        <f>Z20/'État des Résultats'!Z14</f>
        <v>1.7000000000000003E-3</v>
      </c>
      <c r="AC20" s="818">
        <f>(AC18)*$F$72</f>
        <v>154.87096900000003</v>
      </c>
      <c r="AD20" s="393">
        <f>AC20/'État des Résultats'!AC14</f>
        <v>1.7000000000000001E-3</v>
      </c>
      <c r="AF20" s="818">
        <f>(AF18)*$F$72</f>
        <v>160.40967383333336</v>
      </c>
      <c r="AG20" s="393">
        <f>AF20/'État des Résultats'!AF14</f>
        <v>1.6999999999999999E-3</v>
      </c>
      <c r="AI20" s="818">
        <f>(AI18)*$F$72</f>
        <v>149.10198783333337</v>
      </c>
      <c r="AJ20" s="393">
        <f>AI20/'État des Résultats'!AI14</f>
        <v>1.7000000000000003E-3</v>
      </c>
      <c r="AK20" s="200"/>
      <c r="AL20" s="818">
        <f>(AL18)*$F$72</f>
        <v>165.70109100000002</v>
      </c>
      <c r="AM20" s="393">
        <f>AL20/'État des Résultats'!AL14</f>
        <v>1.7000000000000001E-3</v>
      </c>
      <c r="AP20" s="811">
        <f>SUM(+$AL20+$AI20+$AF20+$AC20+$Z20+$W20+$T20+$Q20+$N20+$K20+$H20+$E20)</f>
        <v>1792.6976325833334</v>
      </c>
      <c r="AQ20" s="457">
        <f>AP20/'État des Résultats'!AP14</f>
        <v>1.7000000000000003E-3</v>
      </c>
    </row>
    <row r="21" spans="2:69" ht="15" thickTop="1" thickBot="1" x14ac:dyDescent="0.2">
      <c r="B21" s="469"/>
      <c r="C21" s="470" t="s">
        <v>218</v>
      </c>
      <c r="D21" s="396"/>
      <c r="E21" s="823">
        <f>SUM(E18:E20)</f>
        <v>13896.661333333335</v>
      </c>
      <c r="F21" s="399">
        <f>SUM(F18:F20)</f>
        <v>0.19040000000000001</v>
      </c>
      <c r="G21" s="213"/>
      <c r="H21" s="823">
        <f>SUM(H18:H20)</f>
        <v>13469.689333333336</v>
      </c>
      <c r="I21" s="399">
        <f>SUM(I18:I20)</f>
        <v>0.19040000000000001</v>
      </c>
      <c r="J21" s="213"/>
      <c r="K21" s="823">
        <f>SUM(K18:K20)</f>
        <v>15009.708000000002</v>
      </c>
      <c r="L21" s="399">
        <f>SUM(L18:L20)</f>
        <v>0.19040000000000001</v>
      </c>
      <c r="M21" s="213"/>
      <c r="N21" s="823">
        <f>SUM(N18:N20)</f>
        <v>15753.318532000003</v>
      </c>
      <c r="O21" s="399">
        <f>SUM(O18:O20)</f>
        <v>0.19040000000000001</v>
      </c>
      <c r="P21" s="213"/>
      <c r="Q21" s="823">
        <f>SUM(Q18:Q20)</f>
        <v>16961.035093333336</v>
      </c>
      <c r="R21" s="399">
        <f>SUM(R18:R20)</f>
        <v>0.19040000000000001</v>
      </c>
      <c r="S21" s="213"/>
      <c r="T21" s="823">
        <f>SUM(T18:T20)</f>
        <v>17430.49231466667</v>
      </c>
      <c r="U21" s="399">
        <f>SUM(U18:U20)</f>
        <v>0.19040000000000001</v>
      </c>
      <c r="V21" s="213"/>
      <c r="W21" s="823">
        <f>SUM(W18:W20)</f>
        <v>18722.366152000002</v>
      </c>
      <c r="X21" s="399">
        <f>SUM(X18:X20)</f>
        <v>0.19040000000000001</v>
      </c>
      <c r="Y21" s="213"/>
      <c r="Z21" s="823">
        <f>SUM(Z18:Z20)</f>
        <v>18969.487264000003</v>
      </c>
      <c r="AA21" s="399">
        <f>SUM(AA18:AA20)</f>
        <v>0.19040000000000004</v>
      </c>
      <c r="AB21" s="213"/>
      <c r="AC21" s="823">
        <f>SUM(AC18:AC20)</f>
        <v>17345.548528000003</v>
      </c>
      <c r="AD21" s="399">
        <f>SUM(AD18:AD20)</f>
        <v>0.19040000000000001</v>
      </c>
      <c r="AE21" s="213"/>
      <c r="AF21" s="823">
        <f>SUM(AF18:AF20)</f>
        <v>17965.883469333334</v>
      </c>
      <c r="AG21" s="399">
        <f>SUM(AG18:AG20)</f>
        <v>0.19040000000000001</v>
      </c>
      <c r="AH21" s="213"/>
      <c r="AI21" s="823">
        <f>SUM(AI18:AI20)</f>
        <v>16699.422637333333</v>
      </c>
      <c r="AJ21" s="399">
        <f>SUM(AJ18:AJ20)</f>
        <v>0.19040000000000001</v>
      </c>
      <c r="AK21" s="398"/>
      <c r="AL21" s="823">
        <f>SUM(AL18:AL20)</f>
        <v>18558.522192</v>
      </c>
      <c r="AM21" s="399">
        <f>SUM(AM18:AM20)</f>
        <v>0.19039999999999999</v>
      </c>
      <c r="AN21" s="213"/>
      <c r="AO21" s="213"/>
      <c r="AP21" s="837">
        <f>SUM(AP18+AP19+AP20)</f>
        <v>200782.13484933332</v>
      </c>
      <c r="AQ21" s="400">
        <f>AP21/'État des Résultats'!AP14</f>
        <v>0.19040000000000001</v>
      </c>
      <c r="AR21" s="251"/>
      <c r="AS21" s="251"/>
      <c r="AT21" s="251"/>
      <c r="AU21" s="251"/>
    </row>
    <row r="22" spans="2:69" ht="15" thickTop="1" thickBot="1" x14ac:dyDescent="0.2">
      <c r="B22" s="474"/>
      <c r="C22" s="474"/>
      <c r="D22" s="474"/>
      <c r="E22" s="820"/>
      <c r="F22" s="482"/>
      <c r="G22" s="474"/>
      <c r="H22" s="820"/>
      <c r="I22" s="482"/>
      <c r="J22" s="474"/>
      <c r="K22" s="820"/>
      <c r="L22" s="482"/>
      <c r="M22" s="474"/>
      <c r="N22" s="820"/>
      <c r="O22" s="482"/>
      <c r="P22" s="474"/>
      <c r="Q22" s="820"/>
      <c r="R22" s="482"/>
      <c r="S22" s="474"/>
      <c r="T22" s="820"/>
      <c r="U22" s="482"/>
      <c r="V22" s="474"/>
      <c r="W22" s="820"/>
      <c r="X22" s="482"/>
      <c r="Y22" s="474"/>
      <c r="Z22" s="820"/>
      <c r="AA22" s="482"/>
      <c r="AB22" s="474"/>
      <c r="AC22" s="820"/>
      <c r="AD22" s="482"/>
      <c r="AE22" s="474"/>
      <c r="AF22" s="820"/>
      <c r="AG22" s="482"/>
      <c r="AH22" s="474"/>
      <c r="AI22" s="820"/>
      <c r="AJ22" s="482"/>
      <c r="AK22" s="474"/>
      <c r="AL22" s="820"/>
      <c r="AM22" s="482"/>
      <c r="AN22" s="474"/>
      <c r="AO22" s="474"/>
      <c r="AP22" s="813"/>
      <c r="AQ22" s="483"/>
    </row>
    <row r="23" spans="2:69" ht="15" thickTop="1" thickBot="1" x14ac:dyDescent="0.2">
      <c r="B23" s="505"/>
      <c r="C23" s="497" t="str">
        <f>' Total des coûts de MO'!C15</f>
        <v>Salaire "Vente et service"</v>
      </c>
      <c r="D23" s="190"/>
      <c r="E23" s="821"/>
      <c r="F23" s="498"/>
      <c r="H23" s="821"/>
      <c r="I23" s="498"/>
      <c r="K23" s="821"/>
      <c r="L23" s="498"/>
      <c r="N23" s="821"/>
      <c r="O23" s="498"/>
      <c r="Q23" s="821"/>
      <c r="R23" s="498"/>
      <c r="T23" s="821"/>
      <c r="U23" s="498"/>
      <c r="W23" s="821"/>
      <c r="X23" s="498"/>
      <c r="Z23" s="821"/>
      <c r="AA23" s="498"/>
      <c r="AC23" s="821"/>
      <c r="AD23" s="498"/>
      <c r="AF23" s="821"/>
      <c r="AG23" s="498"/>
      <c r="AI23" s="821"/>
      <c r="AJ23" s="498"/>
      <c r="AK23" s="200"/>
      <c r="AL23" s="821"/>
      <c r="AM23" s="498"/>
      <c r="AP23" s="836" t="s">
        <v>2</v>
      </c>
      <c r="AQ23" s="498" t="s">
        <v>2</v>
      </c>
    </row>
    <row r="24" spans="2:69" ht="14" thickTop="1" x14ac:dyDescent="0.15">
      <c r="B24" s="190">
        <f>' Total des coûts de MO'!B15</f>
        <v>6130</v>
      </c>
      <c r="C24" s="391" t="str">
        <f>' Total des coûts de MO'!C11</f>
        <v>Salaires</v>
      </c>
      <c r="D24" s="190"/>
      <c r="E24" s="822">
        <f>(0.13*'État des Résultats'!E14)</f>
        <v>9488.2666666666682</v>
      </c>
      <c r="F24" s="460">
        <f>E24/'État des Résultats'!E14</f>
        <v>0.13</v>
      </c>
      <c r="H24" s="822">
        <f>(0.13*'État des Résultats'!H14)</f>
        <v>9196.7416666666668</v>
      </c>
      <c r="I24" s="460">
        <f>H24/'État des Résultats'!H14</f>
        <v>0.13</v>
      </c>
      <c r="K24" s="822">
        <f>(0.13*'État des Résultats'!K14)</f>
        <v>10248.225</v>
      </c>
      <c r="L24" s="460">
        <f>K24/'État des Résultats'!K14</f>
        <v>0.13</v>
      </c>
      <c r="N24" s="822">
        <f>(0.13*'État des Résultats'!N14)</f>
        <v>10755.942275000001</v>
      </c>
      <c r="O24" s="460">
        <f>N24/'État des Résultats'!N14</f>
        <v>0.13</v>
      </c>
      <c r="Q24" s="822">
        <f>(0.13*'État des Résultats'!Q14)</f>
        <v>11580.538666666667</v>
      </c>
      <c r="R24" s="460">
        <f>Q24/'État des Résultats'!Q14</f>
        <v>0.13</v>
      </c>
      <c r="T24" s="822">
        <f>(0.13*'État des Résultats'!T14)</f>
        <v>11901.071433333334</v>
      </c>
      <c r="U24" s="460">
        <f>T24/'État des Résultats'!T14</f>
        <v>0.13</v>
      </c>
      <c r="W24" s="822">
        <f>(0.13*'État des Résultats'!W14)</f>
        <v>12783.128150000002</v>
      </c>
      <c r="X24" s="460">
        <f>W24/'État des Résultats'!W14</f>
        <v>0.13</v>
      </c>
      <c r="Z24" s="822">
        <f>(0.13*'État des Résultats'!Z14)</f>
        <v>12951.855800000001</v>
      </c>
      <c r="AA24" s="460">
        <f>Z24/'État des Résultats'!Z14</f>
        <v>0.13</v>
      </c>
      <c r="AC24" s="822">
        <f>(0.13*'État des Résultats'!AC14)</f>
        <v>11843.074100000002</v>
      </c>
      <c r="AD24" s="460">
        <f>AC24/'État des Résultats'!AC14</f>
        <v>0.13</v>
      </c>
      <c r="AF24" s="822">
        <f>(0.13*'État des Résultats'!AF14)</f>
        <v>12266.622116666669</v>
      </c>
      <c r="AG24" s="460">
        <f>AF24/'État des Résultats'!AF14</f>
        <v>0.13</v>
      </c>
      <c r="AI24" s="822">
        <f>(0.13*'État des Résultats'!AI14)</f>
        <v>11401.916716666667</v>
      </c>
      <c r="AJ24" s="460">
        <f>AI24/'État des Résultats'!AI14</f>
        <v>0.13</v>
      </c>
      <c r="AK24" s="200"/>
      <c r="AL24" s="822">
        <f>(0.13*'État des Résultats'!AL14)</f>
        <v>12671.259900000001</v>
      </c>
      <c r="AM24" s="460">
        <f>AL24/'État des Résultats'!AL14</f>
        <v>0.13</v>
      </c>
      <c r="AP24" s="811">
        <f>SUM(+$AL24+$AI24+$AF24+$AC24+$Z24+$W24+$T24+$Q24+$N24+$K24+$H24+$E24)</f>
        <v>137088.64249166669</v>
      </c>
      <c r="AQ24" s="457">
        <f>AP24/'État des Résultats'!AP14</f>
        <v>0.13000000000000003</v>
      </c>
    </row>
    <row r="25" spans="2:69" x14ac:dyDescent="0.15">
      <c r="B25" s="190">
        <f>B19</f>
        <v>6205</v>
      </c>
      <c r="C25" s="161" t="str">
        <f>' Total des coûts de MO'!C27</f>
        <v>Bénéfices gouvernementaux</v>
      </c>
      <c r="D25" s="190"/>
      <c r="E25" s="824">
        <f>E24*$H$75</f>
        <v>1138.5920000000001</v>
      </c>
      <c r="F25" s="393">
        <f>E25/'État des Résultats'!E14</f>
        <v>1.5600000000000001E-2</v>
      </c>
      <c r="H25" s="824">
        <f>H24*$H$75</f>
        <v>1103.6089999999999</v>
      </c>
      <c r="I25" s="393">
        <f>H25/'État des Résultats'!H14</f>
        <v>1.5599999999999998E-2</v>
      </c>
      <c r="K25" s="824">
        <f>K24*$H$75</f>
        <v>1229.787</v>
      </c>
      <c r="L25" s="393">
        <f>K25/'État des Résultats'!K14</f>
        <v>1.5600000000000001E-2</v>
      </c>
      <c r="N25" s="824">
        <f>N24*$H$75</f>
        <v>1290.7130730000001</v>
      </c>
      <c r="O25" s="393">
        <f>N25/'État des Résultats'!N14</f>
        <v>1.5600000000000001E-2</v>
      </c>
      <c r="Q25" s="824">
        <f>Q24*$H$75</f>
        <v>1389.66464</v>
      </c>
      <c r="R25" s="393">
        <f>Q25/'État des Résultats'!Q14</f>
        <v>1.5599999999999999E-2</v>
      </c>
      <c r="T25" s="824">
        <f>T24*$H$75</f>
        <v>1428.1285720000001</v>
      </c>
      <c r="U25" s="393">
        <f>T25/'État des Résultats'!T14</f>
        <v>1.5599999999999999E-2</v>
      </c>
      <c r="W25" s="824">
        <f>W24*$H$75</f>
        <v>1533.9753780000003</v>
      </c>
      <c r="X25" s="393">
        <f>W25/'État des Résultats'!W14</f>
        <v>1.5600000000000001E-2</v>
      </c>
      <c r="Z25" s="824">
        <f>Z24*$H$75</f>
        <v>1554.222696</v>
      </c>
      <c r="AA25" s="393">
        <f>Z25/'État des Résultats'!Z14</f>
        <v>1.5599999999999999E-2</v>
      </c>
      <c r="AC25" s="824">
        <f>AC24*$H$75</f>
        <v>1421.1688920000001</v>
      </c>
      <c r="AD25" s="393">
        <f>AC25/'État des Résultats'!AC14</f>
        <v>1.5600000000000001E-2</v>
      </c>
      <c r="AF25" s="824">
        <f>AF24*$H$75</f>
        <v>1471.9946540000003</v>
      </c>
      <c r="AG25" s="393">
        <f>AF25/'État des Résultats'!AF14</f>
        <v>1.5600000000000001E-2</v>
      </c>
      <c r="AI25" s="824">
        <f>AI24*$H$75</f>
        <v>1368.230006</v>
      </c>
      <c r="AJ25" s="393">
        <f>AI25/'État des Résultats'!AI14</f>
        <v>1.5599999999999999E-2</v>
      </c>
      <c r="AK25" s="200"/>
      <c r="AL25" s="824">
        <f>AL24*$H$75</f>
        <v>1520.5511880000001</v>
      </c>
      <c r="AM25" s="393">
        <f>AL25/'État des Résultats'!AL14</f>
        <v>1.5599999999999999E-2</v>
      </c>
      <c r="AP25" s="811">
        <f>SUM(+$AL25+$AI25+$AF25+$AC25+$Z25+$W25+$T25+$Q25+$N25+$K25+$H25+$E25)</f>
        <v>16450.637099</v>
      </c>
      <c r="AQ25" s="457">
        <f>AP25/'État des Résultats'!AP14</f>
        <v>1.5600000000000001E-2</v>
      </c>
    </row>
    <row r="26" spans="2:69" ht="14" thickBot="1" x14ac:dyDescent="0.2">
      <c r="B26" s="190">
        <f>B14</f>
        <v>6245</v>
      </c>
      <c r="C26" s="391" t="str">
        <f>' Total des coûts de MO'!C31</f>
        <v>CSST et CNT</v>
      </c>
      <c r="D26" s="190"/>
      <c r="E26" s="824">
        <f>(E24)*$F$72</f>
        <v>94.88266666666668</v>
      </c>
      <c r="F26" s="393">
        <f>E26/'État des Résultats'!E14</f>
        <v>1.3000000000000002E-3</v>
      </c>
      <c r="H26" s="824">
        <f>(H24)*$F$72</f>
        <v>91.967416666666665</v>
      </c>
      <c r="I26" s="393">
        <f>H26/'État des Résultats'!H14</f>
        <v>1.2999999999999999E-3</v>
      </c>
      <c r="K26" s="824">
        <f>(K24)*$F$72</f>
        <v>102.48225000000001</v>
      </c>
      <c r="L26" s="393">
        <f>K26/'État des Résultats'!K14</f>
        <v>1.3000000000000002E-3</v>
      </c>
      <c r="N26" s="824">
        <f>(N24)*$F$72</f>
        <v>107.55942275000001</v>
      </c>
      <c r="O26" s="393">
        <f>N26/'État des Résultats'!N14</f>
        <v>1.3000000000000002E-3</v>
      </c>
      <c r="Q26" s="824">
        <f>(Q24)*$F$72</f>
        <v>115.80538666666668</v>
      </c>
      <c r="R26" s="393">
        <f>Q26/'État des Résultats'!Q14</f>
        <v>1.3000000000000002E-3</v>
      </c>
      <c r="T26" s="824">
        <f>(T24)*$F$72</f>
        <v>119.01071433333334</v>
      </c>
      <c r="U26" s="393">
        <f>T26/'État des Résultats'!T14</f>
        <v>1.2999999999999999E-3</v>
      </c>
      <c r="W26" s="824">
        <f>(W24)*$F$72</f>
        <v>127.83128150000003</v>
      </c>
      <c r="X26" s="393">
        <f>W26/'État des Résultats'!W14</f>
        <v>1.3000000000000002E-3</v>
      </c>
      <c r="Z26" s="824">
        <f>(Z24)*$F$72</f>
        <v>129.51855800000001</v>
      </c>
      <c r="AA26" s="393">
        <f>Z26/'État des Résultats'!Z14</f>
        <v>1.3000000000000002E-3</v>
      </c>
      <c r="AC26" s="824">
        <f>(AC24)*$F$72</f>
        <v>118.43074100000001</v>
      </c>
      <c r="AD26" s="393">
        <f>AC26/'État des Résultats'!AC14</f>
        <v>1.2999999999999999E-3</v>
      </c>
      <c r="AF26" s="824">
        <f>(AF24)*$F$72</f>
        <v>122.66622116666669</v>
      </c>
      <c r="AG26" s="393">
        <f>AF26/'État des Résultats'!AF14</f>
        <v>1.2999999999999999E-3</v>
      </c>
      <c r="AI26" s="824">
        <f>(AI24)*$F$72</f>
        <v>114.01916716666666</v>
      </c>
      <c r="AJ26" s="393">
        <f>AI26/'État des Résultats'!AI14</f>
        <v>1.2999999999999999E-3</v>
      </c>
      <c r="AK26" s="200"/>
      <c r="AL26" s="824">
        <f>(AL24)*$F$72</f>
        <v>126.71259900000001</v>
      </c>
      <c r="AM26" s="393">
        <f>AL26/'État des Résultats'!AL14</f>
        <v>1.2999999999999999E-3</v>
      </c>
      <c r="AP26" s="811">
        <f>SUM(+$AL26+$AI26+$AF26+$AC26+$Z26+$W26+$T26+$Q26+$N26+$K26+$H26+$E26)</f>
        <v>1370.8864249166668</v>
      </c>
      <c r="AQ26" s="457">
        <f>AP26/'État des Résultats'!AP14</f>
        <v>1.3000000000000002E-3</v>
      </c>
    </row>
    <row r="27" spans="2:69" ht="15" thickTop="1" thickBot="1" x14ac:dyDescent="0.2">
      <c r="B27" s="469"/>
      <c r="C27" s="470" t="s">
        <v>219</v>
      </c>
      <c r="D27" s="396"/>
      <c r="E27" s="825">
        <f>SUM(E24:E26)</f>
        <v>10721.741333333335</v>
      </c>
      <c r="F27" s="399">
        <f>SUM(F24:F26)</f>
        <v>0.1469</v>
      </c>
      <c r="G27" s="401"/>
      <c r="H27" s="825">
        <f>SUM(H24:H26)</f>
        <v>10392.318083333334</v>
      </c>
      <c r="I27" s="399">
        <f>SUM(I24:I26)</f>
        <v>0.1469</v>
      </c>
      <c r="J27" s="401"/>
      <c r="K27" s="825">
        <f>SUM(K24:K26)</f>
        <v>11580.49425</v>
      </c>
      <c r="L27" s="399">
        <f>SUM(L24:L26)</f>
        <v>0.1469</v>
      </c>
      <c r="M27" s="401"/>
      <c r="N27" s="825">
        <f>SUM(N24:N26)</f>
        <v>12154.214770750003</v>
      </c>
      <c r="O27" s="399">
        <f>SUM(O24:O26)</f>
        <v>0.1469</v>
      </c>
      <c r="P27" s="401"/>
      <c r="Q27" s="825">
        <f>SUM(Q24:Q26)</f>
        <v>13086.008693333333</v>
      </c>
      <c r="R27" s="399">
        <f>SUM(R24:R26)</f>
        <v>0.1469</v>
      </c>
      <c r="S27" s="401"/>
      <c r="T27" s="825">
        <f>SUM(T24:T26)</f>
        <v>13448.210719666668</v>
      </c>
      <c r="U27" s="399">
        <f>SUM(U24:U26)</f>
        <v>0.1469</v>
      </c>
      <c r="V27" s="401"/>
      <c r="W27" s="825">
        <f>SUM(W24:W26)</f>
        <v>14444.934809500004</v>
      </c>
      <c r="X27" s="399">
        <f>SUM(X24:X26)</f>
        <v>0.1469</v>
      </c>
      <c r="Y27" s="213"/>
      <c r="Z27" s="825">
        <f>SUM(Z24:Z26)</f>
        <v>14635.597054000002</v>
      </c>
      <c r="AA27" s="399">
        <f>SUM(AA24:AA26)</f>
        <v>0.1469</v>
      </c>
      <c r="AB27" s="401"/>
      <c r="AC27" s="825">
        <f>SUM(AC24:AC26)</f>
        <v>13382.673733000001</v>
      </c>
      <c r="AD27" s="399">
        <f>SUM(AD24:AD26)</f>
        <v>0.1469</v>
      </c>
      <c r="AE27" s="401"/>
      <c r="AF27" s="825">
        <f>SUM(AF24:AF26)</f>
        <v>13861.282991833335</v>
      </c>
      <c r="AG27" s="399">
        <f>SUM(AG24:AG26)</f>
        <v>0.1469</v>
      </c>
      <c r="AH27" s="401"/>
      <c r="AI27" s="825">
        <f>SUM(AI24:AI26)</f>
        <v>12884.165889833333</v>
      </c>
      <c r="AJ27" s="399">
        <f>SUM(AJ24:AJ26)</f>
        <v>0.1469</v>
      </c>
      <c r="AK27" s="402"/>
      <c r="AL27" s="825">
        <f>SUM(AL24:AL26)</f>
        <v>14318.523687000001</v>
      </c>
      <c r="AM27" s="399">
        <f>SUM(AM24:AM26)</f>
        <v>0.1469</v>
      </c>
      <c r="AN27" s="401"/>
      <c r="AO27" s="401"/>
      <c r="AP27" s="838">
        <f>+SUM(AP24:AP26)</f>
        <v>154910.16601558338</v>
      </c>
      <c r="AQ27" s="403">
        <f>+SUM(AQ24:AQ26)</f>
        <v>0.14690000000000003</v>
      </c>
      <c r="AR27" s="404"/>
      <c r="AS27" s="404"/>
      <c r="AT27" s="404"/>
      <c r="AU27" s="251"/>
      <c r="BB27" s="170"/>
      <c r="BC27" s="170"/>
      <c r="BD27" s="170"/>
      <c r="BE27" s="170"/>
      <c r="BF27" s="170"/>
      <c r="BG27" s="170"/>
      <c r="BH27" s="170"/>
      <c r="BI27" s="170"/>
      <c r="BJ27" s="170"/>
      <c r="BK27" s="170"/>
      <c r="BL27" s="170"/>
      <c r="BM27" s="170"/>
      <c r="BN27" s="170"/>
      <c r="BO27" s="170"/>
      <c r="BP27" s="170"/>
      <c r="BQ27" s="170"/>
    </row>
    <row r="28" spans="2:69" ht="15" thickTop="1" thickBot="1" x14ac:dyDescent="0.2">
      <c r="B28" s="474"/>
      <c r="C28" s="474"/>
      <c r="D28" s="474"/>
      <c r="E28" s="826"/>
      <c r="F28" s="482"/>
      <c r="G28" s="474"/>
      <c r="H28" s="826"/>
      <c r="I28" s="482"/>
      <c r="J28" s="474"/>
      <c r="K28" s="826"/>
      <c r="L28" s="482"/>
      <c r="M28" s="474"/>
      <c r="N28" s="826"/>
      <c r="O28" s="482"/>
      <c r="P28" s="474"/>
      <c r="Q28" s="826"/>
      <c r="R28" s="482"/>
      <c r="S28" s="474"/>
      <c r="T28" s="826"/>
      <c r="U28" s="482"/>
      <c r="V28" s="474"/>
      <c r="W28" s="826"/>
      <c r="X28" s="482"/>
      <c r="Y28" s="474"/>
      <c r="Z28" s="826"/>
      <c r="AA28" s="482"/>
      <c r="AB28" s="474"/>
      <c r="AC28" s="826"/>
      <c r="AD28" s="482"/>
      <c r="AE28" s="474"/>
      <c r="AF28" s="826"/>
      <c r="AG28" s="482"/>
      <c r="AH28" s="474"/>
      <c r="AI28" s="826"/>
      <c r="AJ28" s="482"/>
      <c r="AK28" s="474"/>
      <c r="AL28" s="826"/>
      <c r="AM28" s="482"/>
      <c r="AN28" s="474"/>
      <c r="AO28" s="474"/>
      <c r="AP28" s="813"/>
      <c r="AQ28" s="483"/>
    </row>
    <row r="29" spans="2:69" ht="15" thickTop="1" thickBot="1" x14ac:dyDescent="0.2">
      <c r="B29" s="504"/>
      <c r="C29" s="497" t="str">
        <f>' Total des coûts de MO'!C16</f>
        <v>Salaire "Approvisionnement"</v>
      </c>
      <c r="D29" s="190"/>
      <c r="E29" s="821"/>
      <c r="F29" s="498"/>
      <c r="H29" s="821"/>
      <c r="I29" s="498"/>
      <c r="K29" s="821"/>
      <c r="L29" s="498"/>
      <c r="N29" s="821"/>
      <c r="O29" s="498"/>
      <c r="Q29" s="821"/>
      <c r="R29" s="498"/>
      <c r="T29" s="821"/>
      <c r="U29" s="498"/>
      <c r="W29" s="821"/>
      <c r="X29" s="498"/>
      <c r="Z29" s="821"/>
      <c r="AA29" s="498"/>
      <c r="AC29" s="821"/>
      <c r="AD29" s="498"/>
      <c r="AF29" s="821"/>
      <c r="AG29" s="498"/>
      <c r="AI29" s="821"/>
      <c r="AJ29" s="498"/>
      <c r="AK29" s="200"/>
      <c r="AL29" s="821"/>
      <c r="AM29" s="498"/>
      <c r="AP29" s="836" t="s">
        <v>2</v>
      </c>
      <c r="AQ29" s="498" t="s">
        <v>2</v>
      </c>
    </row>
    <row r="30" spans="2:69" ht="14" thickTop="1" x14ac:dyDescent="0.15">
      <c r="B30" s="190">
        <f>' Total des coûts de MO'!B16</f>
        <v>6140</v>
      </c>
      <c r="C30" s="391" t="str">
        <f>' Total des coûts de MO'!C11</f>
        <v>Salaires</v>
      </c>
      <c r="D30" s="190"/>
      <c r="E30" s="822">
        <v>500</v>
      </c>
      <c r="F30" s="460">
        <f>E30/'État des Résultats'!E14</f>
        <v>6.8505663134819138E-3</v>
      </c>
      <c r="H30" s="822">
        <f>+E30</f>
        <v>500</v>
      </c>
      <c r="I30" s="460">
        <f>H30/'État des Résultats'!H14</f>
        <v>7.0677205423297562E-3</v>
      </c>
      <c r="K30" s="822">
        <f>+H30</f>
        <v>500</v>
      </c>
      <c r="L30" s="460">
        <f>K30/'État des Résultats'!K14</f>
        <v>6.3425617606951449E-3</v>
      </c>
      <c r="N30" s="822">
        <f>+K30</f>
        <v>500</v>
      </c>
      <c r="O30" s="460">
        <f>N30/'État des Résultats'!N14</f>
        <v>6.0431711455982131E-3</v>
      </c>
      <c r="Q30" s="822">
        <f>+N30</f>
        <v>500</v>
      </c>
      <c r="R30" s="460">
        <f>Q30/'État des Résultats'!Q14</f>
        <v>5.6128649859004832E-3</v>
      </c>
      <c r="T30" s="822">
        <f>+Q30</f>
        <v>500</v>
      </c>
      <c r="U30" s="460">
        <f>T30/'État des Résultats'!T14</f>
        <v>5.461693122683354E-3</v>
      </c>
      <c r="W30" s="822">
        <f>+T30</f>
        <v>500</v>
      </c>
      <c r="X30" s="460">
        <f>W30/'État des Résultats'!W14</f>
        <v>5.0848273785004637E-3</v>
      </c>
      <c r="Z30" s="822">
        <f>+W30</f>
        <v>500</v>
      </c>
      <c r="AA30" s="460">
        <f>Z30/'État des Résultats'!Z14</f>
        <v>5.0185858307656575E-3</v>
      </c>
      <c r="AC30" s="822">
        <f>+Z30</f>
        <v>500</v>
      </c>
      <c r="AD30" s="460">
        <f>AC30/'État des Résultats'!AC14</f>
        <v>5.4884398637681407E-3</v>
      </c>
      <c r="AF30" s="822">
        <f>+AC30</f>
        <v>500</v>
      </c>
      <c r="AG30" s="460">
        <f>AF30/'État des Résultats'!AF14</f>
        <v>5.2989322881059854E-3</v>
      </c>
      <c r="AI30" s="822">
        <f>+AF30</f>
        <v>500</v>
      </c>
      <c r="AJ30" s="460">
        <f>AI30/'État des Résultats'!AI14</f>
        <v>5.7007958938155318E-3</v>
      </c>
      <c r="AK30" s="200"/>
      <c r="AL30" s="822">
        <f>+AI30</f>
        <v>500</v>
      </c>
      <c r="AM30" s="460">
        <f>AL30/'État des Résultats'!AL14</f>
        <v>5.1297187898418839E-3</v>
      </c>
      <c r="AP30" s="811">
        <f>SUM(+$AL30+$AI30+$AF30+$AC30+$Z30+$W30+$T30+$Q30+$N30+$K30+$H30+$E30)</f>
        <v>6000</v>
      </c>
      <c r="AQ30" s="457">
        <f>AP30/'État des Résultats'!AP14</f>
        <v>5.6897492441608695E-3</v>
      </c>
    </row>
    <row r="31" spans="2:69" x14ac:dyDescent="0.15">
      <c r="B31" s="190">
        <f>+B25</f>
        <v>6205</v>
      </c>
      <c r="C31" s="391" t="str">
        <f>' Total des coûts de MO'!C27</f>
        <v>Bénéfices gouvernementaux</v>
      </c>
      <c r="D31" s="190"/>
      <c r="E31" s="818">
        <f>+E30*$H$76</f>
        <v>55</v>
      </c>
      <c r="F31" s="393">
        <f>E31/'État des Résultats'!E14</f>
        <v>7.5356229448301051E-4</v>
      </c>
      <c r="H31" s="818">
        <f>+H30*$H$76</f>
        <v>55</v>
      </c>
      <c r="I31" s="393">
        <f>H31/'État des Résultats'!H14</f>
        <v>7.7744925965627309E-4</v>
      </c>
      <c r="K31" s="818">
        <f>+K30*$H$76</f>
        <v>55</v>
      </c>
      <c r="L31" s="393">
        <f>K31/'État des Résultats'!K14</f>
        <v>6.9768179367646593E-4</v>
      </c>
      <c r="N31" s="818">
        <f>+N30*$H$76</f>
        <v>55</v>
      </c>
      <c r="O31" s="393">
        <f>N31/'État des Résultats'!N14</f>
        <v>6.6474882601580344E-4</v>
      </c>
      <c r="Q31" s="818">
        <f>+Q30*$H$76</f>
        <v>55</v>
      </c>
      <c r="R31" s="393">
        <f>Q31/'État des Résultats'!Q14</f>
        <v>6.1741514844905314E-4</v>
      </c>
      <c r="T31" s="818">
        <f>+T30*$H$76</f>
        <v>55</v>
      </c>
      <c r="U31" s="393">
        <f>T31/'État des Résultats'!T14</f>
        <v>6.0078624349516898E-4</v>
      </c>
      <c r="W31" s="818">
        <f>+W30*$H$76</f>
        <v>55</v>
      </c>
      <c r="X31" s="393">
        <f>W31/'État des Résultats'!W14</f>
        <v>5.5933101163505104E-4</v>
      </c>
      <c r="Z31" s="818">
        <f>+Z30*$H$76</f>
        <v>55</v>
      </c>
      <c r="AA31" s="393">
        <f>Z31/'État des Résultats'!Z14</f>
        <v>5.5204444138422226E-4</v>
      </c>
      <c r="AC31" s="818">
        <f>+AC30*$H$76</f>
        <v>55</v>
      </c>
      <c r="AD31" s="393">
        <f>AC31/'État des Résultats'!AC14</f>
        <v>6.0372838501449543E-4</v>
      </c>
      <c r="AF31" s="818">
        <f>+AF30*$H$76</f>
        <v>55</v>
      </c>
      <c r="AG31" s="393">
        <f>AF31/'État des Résultats'!AF14</f>
        <v>5.8288255169165846E-4</v>
      </c>
      <c r="AI31" s="818">
        <f>+AI30*$H$76</f>
        <v>55</v>
      </c>
      <c r="AJ31" s="393">
        <f>AI31/'État des Résultats'!AI14</f>
        <v>6.2708754831970845E-4</v>
      </c>
      <c r="AK31" s="200"/>
      <c r="AL31" s="818">
        <f>+AL30*$H$76</f>
        <v>55</v>
      </c>
      <c r="AM31" s="393">
        <f>AL31/'État des Résultats'!AL14</f>
        <v>5.6426906688260726E-4</v>
      </c>
      <c r="AP31" s="811">
        <f>SUM(+$AL31+$AI31+$AF31+$AC31+$Z31+$W31+$T31+$Q31+$N31+$K31+$H31+$E31)</f>
        <v>660</v>
      </c>
      <c r="AQ31" s="457">
        <f>AP31/'État des Résultats'!AP14</f>
        <v>6.2587241685769569E-4</v>
      </c>
    </row>
    <row r="32" spans="2:69" ht="14" thickBot="1" x14ac:dyDescent="0.2">
      <c r="B32" s="190">
        <f>B20</f>
        <v>6245</v>
      </c>
      <c r="C32" s="391" t="str">
        <f>' Total des coûts de MO'!C31</f>
        <v>CSST et CNT</v>
      </c>
      <c r="D32" s="190"/>
      <c r="E32" s="818">
        <f>(E30)*$F$72</f>
        <v>5</v>
      </c>
      <c r="F32" s="393">
        <f>E32/'État des Résultats'!E14</f>
        <v>6.8505663134819147E-5</v>
      </c>
      <c r="H32" s="818">
        <f>(H30)*$F$72</f>
        <v>5</v>
      </c>
      <c r="I32" s="393">
        <f>H32/'État des Résultats'!H14</f>
        <v>7.0677205423297555E-5</v>
      </c>
      <c r="K32" s="818">
        <f>(K30)*$F$72</f>
        <v>5</v>
      </c>
      <c r="L32" s="393">
        <f>K32/'État des Résultats'!K14</f>
        <v>6.3425617606951444E-5</v>
      </c>
      <c r="N32" s="818">
        <f>(N30)*$F$72</f>
        <v>5</v>
      </c>
      <c r="O32" s="393">
        <f>N32/'État des Résultats'!N14</f>
        <v>6.0431711455982131E-5</v>
      </c>
      <c r="Q32" s="818">
        <f>(Q30)*$F$72</f>
        <v>5</v>
      </c>
      <c r="R32" s="393">
        <f>Q32/'État des Résultats'!Q14</f>
        <v>5.6128649859004834E-5</v>
      </c>
      <c r="T32" s="818">
        <f>(T30)*$F$72</f>
        <v>5</v>
      </c>
      <c r="U32" s="393">
        <f>T32/'État des Résultats'!T14</f>
        <v>5.461693122683354E-5</v>
      </c>
      <c r="W32" s="818">
        <f>(W30)*$F$72</f>
        <v>5</v>
      </c>
      <c r="X32" s="393">
        <f>W32/'État des Résultats'!W14</f>
        <v>5.0848273785004642E-5</v>
      </c>
      <c r="Z32" s="818">
        <f>(Z30)*$F$72</f>
        <v>5</v>
      </c>
      <c r="AA32" s="393">
        <f>Z32/'État des Résultats'!Z14</f>
        <v>5.0185858307656571E-5</v>
      </c>
      <c r="AC32" s="818">
        <f>(AC30)*$F$72</f>
        <v>5</v>
      </c>
      <c r="AD32" s="393">
        <f>AC32/'État des Résultats'!AC14</f>
        <v>5.4884398637681409E-5</v>
      </c>
      <c r="AF32" s="818">
        <f>(AF30)*$F$72</f>
        <v>5</v>
      </c>
      <c r="AG32" s="393">
        <f>AF32/'État des Résultats'!AF14</f>
        <v>5.2989322881059858E-5</v>
      </c>
      <c r="AI32" s="818">
        <f>(AI30)*$F$72</f>
        <v>5</v>
      </c>
      <c r="AJ32" s="393">
        <f>AI32/'État des Résultats'!AI14</f>
        <v>5.7007958938155314E-5</v>
      </c>
      <c r="AK32" s="200"/>
      <c r="AL32" s="818">
        <f>(AL30)*$F$72</f>
        <v>5</v>
      </c>
      <c r="AM32" s="393">
        <f>AL32/'État des Résultats'!AL14</f>
        <v>5.1297187898418843E-5</v>
      </c>
      <c r="AP32" s="811">
        <f>SUM(+$AL32+$AI32+$AF32+$AC32+$Z32+$W32+$T32+$Q32+$N32+$K32+$H32+$E32)</f>
        <v>60</v>
      </c>
      <c r="AQ32" s="457">
        <f>AP32/'État des Résultats'!AP14</f>
        <v>5.6897492441608698E-5</v>
      </c>
    </row>
    <row r="33" spans="2:52" ht="15" thickTop="1" thickBot="1" x14ac:dyDescent="0.2">
      <c r="B33" s="469"/>
      <c r="C33" s="471" t="s">
        <v>220</v>
      </c>
      <c r="D33" s="396"/>
      <c r="E33" s="823">
        <f>SUM(E30:E32)</f>
        <v>560</v>
      </c>
      <c r="F33" s="399">
        <f>+SUM(F30:F32)</f>
        <v>7.6726342710997427E-3</v>
      </c>
      <c r="G33" s="213"/>
      <c r="H33" s="823">
        <f>SUM(H30:H32)</f>
        <v>560</v>
      </c>
      <c r="I33" s="399">
        <f>+SUM(I30:I32)</f>
        <v>7.9158470074093268E-3</v>
      </c>
      <c r="J33" s="213"/>
      <c r="K33" s="823">
        <f>SUM(K30:K32)</f>
        <v>560</v>
      </c>
      <c r="L33" s="399">
        <f>+SUM(L30:L32)</f>
        <v>7.1036691719785624E-3</v>
      </c>
      <c r="M33" s="213"/>
      <c r="N33" s="823">
        <f>SUM(N30:N32)</f>
        <v>560</v>
      </c>
      <c r="O33" s="399">
        <f>+SUM(O30:O32)</f>
        <v>6.7683516830699987E-3</v>
      </c>
      <c r="P33" s="213"/>
      <c r="Q33" s="823">
        <f>SUM(Q30:Q32)</f>
        <v>560</v>
      </c>
      <c r="R33" s="399">
        <f>+SUM(R30:R32)</f>
        <v>6.2864087842085413E-3</v>
      </c>
      <c r="S33" s="213"/>
      <c r="T33" s="823">
        <f>SUM(T30:T32)</f>
        <v>560</v>
      </c>
      <c r="U33" s="399">
        <f>+SUM(U30:U32)</f>
        <v>6.1170962974053571E-3</v>
      </c>
      <c r="V33" s="213"/>
      <c r="W33" s="823">
        <f>SUM(W30:W32)</f>
        <v>560</v>
      </c>
      <c r="X33" s="399">
        <f>+SUM(X30:X32)</f>
        <v>5.6950066639205191E-3</v>
      </c>
      <c r="Y33" s="213"/>
      <c r="Z33" s="823">
        <f>SUM(Z30:Z32)</f>
        <v>560</v>
      </c>
      <c r="AA33" s="399">
        <f>+SUM(AA30:AA32)</f>
        <v>5.6208161304575361E-3</v>
      </c>
      <c r="AB33" s="213"/>
      <c r="AC33" s="823">
        <f>SUM(AC30:AC32)</f>
        <v>560</v>
      </c>
      <c r="AD33" s="399">
        <f>+SUM(AD30:AD32)</f>
        <v>6.1470526474203179E-3</v>
      </c>
      <c r="AE33" s="213"/>
      <c r="AF33" s="823">
        <f>SUM(AF30:AF32)</f>
        <v>560</v>
      </c>
      <c r="AG33" s="399">
        <f>+SUM(AG30:AG32)</f>
        <v>5.934804162678704E-3</v>
      </c>
      <c r="AH33" s="213"/>
      <c r="AI33" s="823">
        <f>SUM(AI30:AI32)</f>
        <v>560</v>
      </c>
      <c r="AJ33" s="399">
        <f>+SUM(AJ30:AJ32)</f>
        <v>6.3848914010733952E-3</v>
      </c>
      <c r="AK33" s="398"/>
      <c r="AL33" s="823">
        <f>SUM(AL30:AL32)</f>
        <v>560</v>
      </c>
      <c r="AM33" s="399">
        <f>+SUM(AM30:AM32)</f>
        <v>5.7452850446229097E-3</v>
      </c>
      <c r="AN33" s="213"/>
      <c r="AO33" s="213"/>
      <c r="AP33" s="839">
        <f>SUM(+$AL33+$AI33+$AF33+$AC33+$Z33+$W33+$T33+$Q33+$N33+$K33+$H33+$E33)</f>
        <v>6720</v>
      </c>
      <c r="AQ33" s="399">
        <f>AP33/'État des Résultats'!AP14</f>
        <v>6.3725191534601744E-3</v>
      </c>
      <c r="AR33" s="251"/>
      <c r="AS33" s="251"/>
    </row>
    <row r="34" spans="2:52" ht="15" thickTop="1" thickBot="1" x14ac:dyDescent="0.2">
      <c r="B34" s="474"/>
      <c r="C34" s="474"/>
      <c r="D34" s="474"/>
      <c r="E34" s="827"/>
      <c r="F34" s="482"/>
      <c r="G34" s="474"/>
      <c r="H34" s="827"/>
      <c r="I34" s="482"/>
      <c r="J34" s="474"/>
      <c r="K34" s="827"/>
      <c r="L34" s="482"/>
      <c r="M34" s="474"/>
      <c r="N34" s="827"/>
      <c r="O34" s="482"/>
      <c r="P34" s="474"/>
      <c r="Q34" s="827"/>
      <c r="R34" s="482"/>
      <c r="S34" s="474"/>
      <c r="T34" s="827"/>
      <c r="U34" s="482"/>
      <c r="V34" s="474"/>
      <c r="W34" s="827"/>
      <c r="X34" s="482"/>
      <c r="Y34" s="474"/>
      <c r="Z34" s="827"/>
      <c r="AA34" s="482"/>
      <c r="AB34" s="474"/>
      <c r="AC34" s="827"/>
      <c r="AD34" s="482"/>
      <c r="AE34" s="474"/>
      <c r="AF34" s="827"/>
      <c r="AG34" s="482"/>
      <c r="AH34" s="474"/>
      <c r="AI34" s="827"/>
      <c r="AJ34" s="482"/>
      <c r="AK34" s="474"/>
      <c r="AL34" s="827"/>
      <c r="AM34" s="482"/>
      <c r="AN34" s="474"/>
      <c r="AO34" s="474"/>
      <c r="AP34" s="813"/>
      <c r="AQ34" s="483"/>
    </row>
    <row r="35" spans="2:52" ht="15" thickTop="1" thickBot="1" x14ac:dyDescent="0.2">
      <c r="B35" s="505"/>
      <c r="C35" s="497" t="str">
        <f>' Total des coûts de MO'!C17</f>
        <v>Salaire "Finance &amp; Comptabilité"</v>
      </c>
      <c r="D35" s="190"/>
      <c r="E35" s="821"/>
      <c r="F35" s="498"/>
      <c r="H35" s="821"/>
      <c r="I35" s="498"/>
      <c r="K35" s="821"/>
      <c r="L35" s="498"/>
      <c r="N35" s="821"/>
      <c r="O35" s="498"/>
      <c r="Q35" s="821"/>
      <c r="R35" s="498"/>
      <c r="T35" s="821"/>
      <c r="U35" s="498"/>
      <c r="W35" s="821"/>
      <c r="X35" s="498"/>
      <c r="Z35" s="821"/>
      <c r="AA35" s="498"/>
      <c r="AC35" s="821"/>
      <c r="AD35" s="498"/>
      <c r="AF35" s="821"/>
      <c r="AG35" s="498"/>
      <c r="AI35" s="821"/>
      <c r="AJ35" s="498"/>
      <c r="AK35" s="200"/>
      <c r="AL35" s="821"/>
      <c r="AM35" s="498"/>
      <c r="AP35" s="836"/>
      <c r="AQ35" s="498"/>
    </row>
    <row r="36" spans="2:52" ht="14" thickTop="1" x14ac:dyDescent="0.15">
      <c r="B36" s="190">
        <f>' Total des coûts de MO'!B17</f>
        <v>6150</v>
      </c>
      <c r="C36" s="391" t="str">
        <f>' Total des coûts de MO'!C11</f>
        <v>Salaires</v>
      </c>
      <c r="D36" s="190">
        <v>0</v>
      </c>
      <c r="E36" s="822">
        <v>500</v>
      </c>
      <c r="F36" s="461">
        <f>E36/'État des Résultats'!E14</f>
        <v>6.8505663134819138E-3</v>
      </c>
      <c r="H36" s="822">
        <f>+E36</f>
        <v>500</v>
      </c>
      <c r="I36" s="461">
        <f>H36/'État des Résultats'!H14</f>
        <v>7.0677205423297562E-3</v>
      </c>
      <c r="K36" s="822">
        <f>+H36</f>
        <v>500</v>
      </c>
      <c r="L36" s="461">
        <f>K36/'État des Résultats'!K14</f>
        <v>6.3425617606951449E-3</v>
      </c>
      <c r="N36" s="822">
        <f>+K36</f>
        <v>500</v>
      </c>
      <c r="O36" s="461">
        <f>N36/'État des Résultats'!N14</f>
        <v>6.0431711455982131E-3</v>
      </c>
      <c r="Q36" s="822">
        <f>+N36</f>
        <v>500</v>
      </c>
      <c r="R36" s="461">
        <f>Q36/'État des Résultats'!Q14</f>
        <v>5.6128649859004832E-3</v>
      </c>
      <c r="T36" s="822">
        <f>+Q36</f>
        <v>500</v>
      </c>
      <c r="U36" s="461">
        <f>T36/'État des Résultats'!T14</f>
        <v>5.461693122683354E-3</v>
      </c>
      <c r="W36" s="822">
        <f>+T36</f>
        <v>500</v>
      </c>
      <c r="X36" s="461">
        <f>W36/'État des Résultats'!W14</f>
        <v>5.0848273785004637E-3</v>
      </c>
      <c r="Z36" s="822">
        <f>+W36</f>
        <v>500</v>
      </c>
      <c r="AA36" s="461">
        <f>Z36/'État des Résultats'!Z14</f>
        <v>5.0185858307656575E-3</v>
      </c>
      <c r="AC36" s="822">
        <f>+Z36</f>
        <v>500</v>
      </c>
      <c r="AD36" s="461">
        <f>AC36/'État des Résultats'!AC14</f>
        <v>5.4884398637681407E-3</v>
      </c>
      <c r="AF36" s="822">
        <f>+AC36</f>
        <v>500</v>
      </c>
      <c r="AG36" s="461">
        <f>AF36/'État des Résultats'!AF14</f>
        <v>5.2989322881059854E-3</v>
      </c>
      <c r="AI36" s="822">
        <f>+AF36</f>
        <v>500</v>
      </c>
      <c r="AJ36" s="461">
        <f>AI36/'État des Résultats'!AI14</f>
        <v>5.7007958938155318E-3</v>
      </c>
      <c r="AK36" s="200"/>
      <c r="AL36" s="822">
        <f>+AI36</f>
        <v>500</v>
      </c>
      <c r="AM36" s="461">
        <f>AL36/'État des Résultats'!AL14</f>
        <v>5.1297187898418839E-3</v>
      </c>
      <c r="AP36" s="811">
        <f>SUM(+$AL36+$AI36+$AF36+$AC36+$Z36+$W36+$T36+$Q36+$N36+$K36+$H36+$E36)</f>
        <v>6000</v>
      </c>
      <c r="AQ36" s="457">
        <f>AP36/'État des Résultats'!AP14</f>
        <v>5.6897492441608695E-3</v>
      </c>
    </row>
    <row r="37" spans="2:52" x14ac:dyDescent="0.15">
      <c r="B37" s="190">
        <f>+B31</f>
        <v>6205</v>
      </c>
      <c r="C37" s="391" t="str">
        <f>' Total des coûts de MO'!C27</f>
        <v>Bénéfices gouvernementaux</v>
      </c>
      <c r="D37" s="190"/>
      <c r="E37" s="818">
        <f>+E36*$H$76</f>
        <v>55</v>
      </c>
      <c r="F37" s="405">
        <f>E37/'État des Résultats'!E14</f>
        <v>7.5356229448301051E-4</v>
      </c>
      <c r="H37" s="818">
        <f>+H36*$H$76</f>
        <v>55</v>
      </c>
      <c r="I37" s="405">
        <f>H37/'État des Résultats'!H14</f>
        <v>7.7744925965627309E-4</v>
      </c>
      <c r="K37" s="818">
        <f>+K36*$H$76</f>
        <v>55</v>
      </c>
      <c r="L37" s="405">
        <f>K37/'État des Résultats'!K14</f>
        <v>6.9768179367646593E-4</v>
      </c>
      <c r="N37" s="818">
        <f>+N36*$H$76</f>
        <v>55</v>
      </c>
      <c r="O37" s="405">
        <f>N37/'État des Résultats'!N14</f>
        <v>6.6474882601580344E-4</v>
      </c>
      <c r="Q37" s="818">
        <f>+Q36*$H$76</f>
        <v>55</v>
      </c>
      <c r="R37" s="405">
        <f>Q37/'État des Résultats'!Q14</f>
        <v>6.1741514844905314E-4</v>
      </c>
      <c r="T37" s="818">
        <f>+T36*$H$76</f>
        <v>55</v>
      </c>
      <c r="U37" s="405">
        <f>T37/'État des Résultats'!T14</f>
        <v>6.0078624349516898E-4</v>
      </c>
      <c r="W37" s="818">
        <f>+W36*$H$76</f>
        <v>55</v>
      </c>
      <c r="X37" s="405">
        <f>W37/'État des Résultats'!W14</f>
        <v>5.5933101163505104E-4</v>
      </c>
      <c r="Z37" s="818">
        <f>+Z36*$H$76</f>
        <v>55</v>
      </c>
      <c r="AA37" s="405">
        <f>Z37/'État des Résultats'!Z14</f>
        <v>5.5204444138422226E-4</v>
      </c>
      <c r="AC37" s="818">
        <f>+AC36*$H$76</f>
        <v>55</v>
      </c>
      <c r="AD37" s="405">
        <f>AC37/'État des Résultats'!AC14</f>
        <v>6.0372838501449543E-4</v>
      </c>
      <c r="AF37" s="818">
        <f>+AF36*$H$76</f>
        <v>55</v>
      </c>
      <c r="AG37" s="405">
        <f>AF37/'État des Résultats'!AF14</f>
        <v>5.8288255169165846E-4</v>
      </c>
      <c r="AI37" s="818">
        <f>+AI36*$H$76</f>
        <v>55</v>
      </c>
      <c r="AJ37" s="405">
        <f>AI37/'État des Résultats'!AI14</f>
        <v>6.2708754831970845E-4</v>
      </c>
      <c r="AK37" s="200"/>
      <c r="AL37" s="818">
        <f>+AL36*$H$76</f>
        <v>55</v>
      </c>
      <c r="AM37" s="405">
        <f>AL37/'État des Résultats'!AL14</f>
        <v>5.6426906688260726E-4</v>
      </c>
      <c r="AP37" s="811">
        <f>SUM(+$AL37+$AI37+$AF37+$AC37+$Z37+$W37+$T37+$Q37+$N37+$K37+$H37+$E37)</f>
        <v>660</v>
      </c>
      <c r="AQ37" s="457">
        <f>AP37/'État des Résultats'!AP14</f>
        <v>6.2587241685769569E-4</v>
      </c>
    </row>
    <row r="38" spans="2:52" ht="14" thickBot="1" x14ac:dyDescent="0.2">
      <c r="B38" s="190">
        <f>B32</f>
        <v>6245</v>
      </c>
      <c r="C38" s="391" t="str">
        <f>' Total des coûts de MO'!C31</f>
        <v>CSST et CNT</v>
      </c>
      <c r="D38" s="406"/>
      <c r="E38" s="818">
        <f>(E36)*$F$72</f>
        <v>5</v>
      </c>
      <c r="F38" s="407">
        <f>E38/'État des Résultats'!E14</f>
        <v>6.8505663134819147E-5</v>
      </c>
      <c r="G38" s="408"/>
      <c r="H38" s="818">
        <f>(H36)*$F$72</f>
        <v>5</v>
      </c>
      <c r="I38" s="407">
        <f>H38/'État des Résultats'!H14</f>
        <v>7.0677205423297555E-5</v>
      </c>
      <c r="J38" s="408"/>
      <c r="K38" s="818">
        <f>(K36)*$F$72</f>
        <v>5</v>
      </c>
      <c r="L38" s="407">
        <f>K38/'État des Résultats'!K14</f>
        <v>6.3425617606951444E-5</v>
      </c>
      <c r="M38" s="314"/>
      <c r="N38" s="818">
        <f>(N36)*$F$72</f>
        <v>5</v>
      </c>
      <c r="O38" s="407">
        <f>N38/'État des Résultats'!N14</f>
        <v>6.0431711455982131E-5</v>
      </c>
      <c r="P38" s="408"/>
      <c r="Q38" s="818">
        <f>(Q36)*$F$72</f>
        <v>5</v>
      </c>
      <c r="R38" s="407">
        <f>Q38/'État des Résultats'!Q14</f>
        <v>5.6128649859004834E-5</v>
      </c>
      <c r="S38" s="408"/>
      <c r="T38" s="818">
        <f>(T36)*$F$72</f>
        <v>5</v>
      </c>
      <c r="U38" s="407">
        <f>T38/'État des Résultats'!T14</f>
        <v>5.461693122683354E-5</v>
      </c>
      <c r="V38" s="408"/>
      <c r="W38" s="818">
        <f>(W36)*$F$72</f>
        <v>5</v>
      </c>
      <c r="X38" s="407">
        <f>W38/'État des Résultats'!W14</f>
        <v>5.0848273785004642E-5</v>
      </c>
      <c r="Y38" s="408"/>
      <c r="Z38" s="818">
        <f>(Z36)*$F$72</f>
        <v>5</v>
      </c>
      <c r="AA38" s="407">
        <f>Z38/'État des Résultats'!Z14</f>
        <v>5.0185858307656571E-5</v>
      </c>
      <c r="AB38" s="408"/>
      <c r="AC38" s="818">
        <f>(AC36)*$F$72</f>
        <v>5</v>
      </c>
      <c r="AD38" s="407">
        <f>AC38/'État des Résultats'!AC14</f>
        <v>5.4884398637681409E-5</v>
      </c>
      <c r="AE38" s="408"/>
      <c r="AF38" s="818">
        <f>(AF36)*$F$72</f>
        <v>5</v>
      </c>
      <c r="AG38" s="407">
        <f>AF38/'État des Résultats'!AF14</f>
        <v>5.2989322881059858E-5</v>
      </c>
      <c r="AH38" s="408"/>
      <c r="AI38" s="818">
        <f>(AI36)*$F$72</f>
        <v>5</v>
      </c>
      <c r="AJ38" s="407">
        <f>AI38/'État des Résultats'!AI14</f>
        <v>5.7007958938155314E-5</v>
      </c>
      <c r="AK38" s="409"/>
      <c r="AL38" s="818">
        <f>(AL36)*$F$72</f>
        <v>5</v>
      </c>
      <c r="AM38" s="407">
        <f>AL38/'État des Résultats'!AL14</f>
        <v>5.1297187898418843E-5</v>
      </c>
      <c r="AN38" s="408"/>
      <c r="AO38" s="408"/>
      <c r="AP38" s="811">
        <f>SUM(+$AL38+$AI38+$AF38+$AC38+$Z38+$W38+$T38+$Q38+$N38+$K38+$H38+$E38)</f>
        <v>60</v>
      </c>
      <c r="AQ38" s="457">
        <f>AP38/'État des Résultats'!AP14</f>
        <v>5.6897492441608698E-5</v>
      </c>
    </row>
    <row r="39" spans="2:52" ht="15" thickTop="1" thickBot="1" x14ac:dyDescent="0.2">
      <c r="B39" s="469"/>
      <c r="C39" s="470" t="s">
        <v>221</v>
      </c>
      <c r="D39" s="396"/>
      <c r="E39" s="823">
        <f>SUM(E36:E38)</f>
        <v>560</v>
      </c>
      <c r="F39" s="410">
        <f>SUM(F36:F38)</f>
        <v>7.6726342710997427E-3</v>
      </c>
      <c r="G39" s="213"/>
      <c r="H39" s="823">
        <f>SUM(H36:H38)</f>
        <v>560</v>
      </c>
      <c r="I39" s="410">
        <f>SUM(I36:I38)</f>
        <v>7.9158470074093268E-3</v>
      </c>
      <c r="J39" s="213"/>
      <c r="K39" s="823">
        <f>SUM(K36:K38)</f>
        <v>560</v>
      </c>
      <c r="L39" s="410">
        <f>SUM(L36:L38)</f>
        <v>7.1036691719785624E-3</v>
      </c>
      <c r="M39" s="213"/>
      <c r="N39" s="823">
        <f>SUM(N36:N38)</f>
        <v>560</v>
      </c>
      <c r="O39" s="410">
        <f>SUM(O36:O38)</f>
        <v>6.7683516830699987E-3</v>
      </c>
      <c r="P39" s="213"/>
      <c r="Q39" s="823">
        <f>SUM(Q36:Q38)</f>
        <v>560</v>
      </c>
      <c r="R39" s="410">
        <f>SUM(R36:R38)</f>
        <v>6.2864087842085413E-3</v>
      </c>
      <c r="S39" s="213"/>
      <c r="T39" s="823">
        <f>SUM(T36:T38)</f>
        <v>560</v>
      </c>
      <c r="U39" s="410">
        <f>SUM(U36:U38)</f>
        <v>6.1170962974053571E-3</v>
      </c>
      <c r="V39" s="213"/>
      <c r="W39" s="823">
        <f>SUM(W36:W38)</f>
        <v>560</v>
      </c>
      <c r="X39" s="410">
        <f>SUM(X36:X38)</f>
        <v>5.6950066639205191E-3</v>
      </c>
      <c r="Y39" s="213"/>
      <c r="Z39" s="823">
        <f>SUM(Z36:Z38)</f>
        <v>560</v>
      </c>
      <c r="AA39" s="410">
        <f>SUM(AA36:AA38)</f>
        <v>5.6208161304575361E-3</v>
      </c>
      <c r="AB39" s="213"/>
      <c r="AC39" s="823">
        <f>SUM(AC36:AC38)</f>
        <v>560</v>
      </c>
      <c r="AD39" s="410">
        <f>SUM(AD36:AD38)</f>
        <v>6.1470526474203179E-3</v>
      </c>
      <c r="AE39" s="213"/>
      <c r="AF39" s="823">
        <f>SUM(AF36:AF38)</f>
        <v>560</v>
      </c>
      <c r="AG39" s="410">
        <f>SUM(AG36:AG38)</f>
        <v>5.934804162678704E-3</v>
      </c>
      <c r="AH39" s="213"/>
      <c r="AI39" s="823">
        <f>SUM(AI36:AI38)</f>
        <v>560</v>
      </c>
      <c r="AJ39" s="410">
        <f>SUM(AJ36:AJ38)</f>
        <v>6.3848914010733952E-3</v>
      </c>
      <c r="AK39" s="398"/>
      <c r="AL39" s="823">
        <f>SUM(AL36:AL38)</f>
        <v>560</v>
      </c>
      <c r="AM39" s="410">
        <f>SUM(AM36:AM38)</f>
        <v>5.7452850446229097E-3</v>
      </c>
      <c r="AN39" s="213"/>
      <c r="AO39" s="213"/>
      <c r="AP39" s="839">
        <f>SUM(+$AL39+$AI39+$AF39+$AC39+$Z39+$W39+$T39+$Q39+$N39+$K39+$H39+$E39)</f>
        <v>6720</v>
      </c>
      <c r="AQ39" s="410">
        <f>AP39/'État des Résultats'!AP14</f>
        <v>6.3725191534601744E-3</v>
      </c>
      <c r="AR39" s="251"/>
    </row>
    <row r="40" spans="2:52" ht="15" thickTop="1" thickBot="1" x14ac:dyDescent="0.2">
      <c r="B40" s="474"/>
      <c r="C40" s="474"/>
      <c r="D40" s="474"/>
      <c r="E40" s="828"/>
      <c r="F40" s="484"/>
      <c r="G40" s="474"/>
      <c r="H40" s="828"/>
      <c r="I40" s="484"/>
      <c r="J40" s="474"/>
      <c r="K40" s="828"/>
      <c r="L40" s="484"/>
      <c r="M40" s="474"/>
      <c r="N40" s="828"/>
      <c r="O40" s="484"/>
      <c r="P40" s="474"/>
      <c r="Q40" s="828"/>
      <c r="R40" s="484"/>
      <c r="S40" s="474"/>
      <c r="T40" s="828"/>
      <c r="U40" s="484"/>
      <c r="V40" s="474"/>
      <c r="W40" s="828"/>
      <c r="X40" s="484"/>
      <c r="Y40" s="474"/>
      <c r="Z40" s="828"/>
      <c r="AA40" s="484"/>
      <c r="AB40" s="474"/>
      <c r="AC40" s="828"/>
      <c r="AD40" s="484"/>
      <c r="AE40" s="474"/>
      <c r="AF40" s="828"/>
      <c r="AG40" s="484"/>
      <c r="AH40" s="474"/>
      <c r="AI40" s="828"/>
      <c r="AJ40" s="484"/>
      <c r="AK40" s="474"/>
      <c r="AL40" s="828"/>
      <c r="AM40" s="484"/>
      <c r="AN40" s="474"/>
      <c r="AO40" s="474"/>
      <c r="AP40" s="813"/>
      <c r="AQ40" s="485"/>
    </row>
    <row r="41" spans="2:52" ht="15" thickTop="1" thickBot="1" x14ac:dyDescent="0.2">
      <c r="B41" s="506"/>
      <c r="C41" s="507" t="str">
        <f>' Total des coûts de MO'!C18</f>
        <v>Salaire "Marketing &amp; Communication"</v>
      </c>
      <c r="D41" s="190"/>
      <c r="E41" s="821"/>
      <c r="F41" s="503"/>
      <c r="H41" s="821"/>
      <c r="I41" s="503"/>
      <c r="K41" s="821"/>
      <c r="L41" s="503"/>
      <c r="N41" s="821"/>
      <c r="O41" s="503"/>
      <c r="Q41" s="821"/>
      <c r="R41" s="503"/>
      <c r="T41" s="821"/>
      <c r="U41" s="503"/>
      <c r="W41" s="821"/>
      <c r="X41" s="503"/>
      <c r="Z41" s="821"/>
      <c r="AA41" s="503"/>
      <c r="AC41" s="821"/>
      <c r="AD41" s="503"/>
      <c r="AF41" s="821"/>
      <c r="AG41" s="503"/>
      <c r="AI41" s="821"/>
      <c r="AJ41" s="503"/>
      <c r="AK41" s="200"/>
      <c r="AL41" s="821"/>
      <c r="AM41" s="503"/>
      <c r="AP41" s="836"/>
      <c r="AQ41" s="503"/>
    </row>
    <row r="42" spans="2:52" x14ac:dyDescent="0.15">
      <c r="B42" s="190">
        <f>' Total des coûts de MO'!B18</f>
        <v>6160</v>
      </c>
      <c r="C42" s="391" t="str">
        <f>' Total des coûts de MO'!C11</f>
        <v>Salaires</v>
      </c>
      <c r="D42" s="190"/>
      <c r="E42" s="822">
        <v>500</v>
      </c>
      <c r="F42" s="460">
        <f>E42/'État des Résultats'!E14</f>
        <v>6.8505663134819138E-3</v>
      </c>
      <c r="H42" s="822">
        <f>+E42</f>
        <v>500</v>
      </c>
      <c r="I42" s="460">
        <f>H42/'État des Résultats'!H14</f>
        <v>7.0677205423297562E-3</v>
      </c>
      <c r="K42" s="822">
        <f>+H42</f>
        <v>500</v>
      </c>
      <c r="L42" s="460">
        <f>K42/'État des Résultats'!K14</f>
        <v>6.3425617606951449E-3</v>
      </c>
      <c r="N42" s="822">
        <f>+K42</f>
        <v>500</v>
      </c>
      <c r="O42" s="460">
        <f>N42/'État des Résultats'!N14</f>
        <v>6.0431711455982131E-3</v>
      </c>
      <c r="Q42" s="822">
        <f>+N42</f>
        <v>500</v>
      </c>
      <c r="R42" s="460">
        <f>Q42/'État des Résultats'!Q14</f>
        <v>5.6128649859004832E-3</v>
      </c>
      <c r="T42" s="822">
        <f>+Q42</f>
        <v>500</v>
      </c>
      <c r="U42" s="460">
        <f>T42/'État des Résultats'!T14</f>
        <v>5.461693122683354E-3</v>
      </c>
      <c r="W42" s="822">
        <f>+T42</f>
        <v>500</v>
      </c>
      <c r="X42" s="460">
        <f>W42/'État des Résultats'!W14</f>
        <v>5.0848273785004637E-3</v>
      </c>
      <c r="Z42" s="822">
        <f>+W42</f>
        <v>500</v>
      </c>
      <c r="AA42" s="460">
        <f>Z42/'État des Résultats'!Z14</f>
        <v>5.0185858307656575E-3</v>
      </c>
      <c r="AC42" s="822">
        <f>+Z42</f>
        <v>500</v>
      </c>
      <c r="AD42" s="460">
        <f>AC42/'État des Résultats'!AC14</f>
        <v>5.4884398637681407E-3</v>
      </c>
      <c r="AF42" s="822">
        <f>+AC42</f>
        <v>500</v>
      </c>
      <c r="AG42" s="460">
        <f>AF42/'État des Résultats'!AF14</f>
        <v>5.2989322881059854E-3</v>
      </c>
      <c r="AI42" s="822">
        <f>+AF42</f>
        <v>500</v>
      </c>
      <c r="AJ42" s="460">
        <f>AI42/'État des Résultats'!AI14</f>
        <v>5.7007958938155318E-3</v>
      </c>
      <c r="AK42" s="200"/>
      <c r="AL42" s="822">
        <f>+AI42</f>
        <v>500</v>
      </c>
      <c r="AM42" s="460">
        <f>AL42/'État des Résultats'!AL14</f>
        <v>5.1297187898418839E-3</v>
      </c>
      <c r="AP42" s="811">
        <f>SUM(+$AL42+$AI42+$AF42+$AC42+$Z42+$W42+$T42+$Q42+$N42+$K42+$H42+$E42)</f>
        <v>6000</v>
      </c>
      <c r="AQ42" s="457">
        <f>AP42/'État des Résultats'!AP14</f>
        <v>5.6897492441608695E-3</v>
      </c>
    </row>
    <row r="43" spans="2:52" x14ac:dyDescent="0.15">
      <c r="B43" s="190">
        <f>+B37</f>
        <v>6205</v>
      </c>
      <c r="C43" s="391" t="str">
        <f>' Total des coûts de MO'!C27</f>
        <v>Bénéfices gouvernementaux</v>
      </c>
      <c r="D43" s="190"/>
      <c r="E43" s="818">
        <f>+E42*$H$76</f>
        <v>55</v>
      </c>
      <c r="F43" s="412">
        <f>E43/'État des Résultats'!E14</f>
        <v>7.5356229448301051E-4</v>
      </c>
      <c r="H43" s="818">
        <f>+H42*$H$76</f>
        <v>55</v>
      </c>
      <c r="I43" s="412">
        <f>H43/'État des Résultats'!H14</f>
        <v>7.7744925965627309E-4</v>
      </c>
      <c r="K43" s="818">
        <f>+K42*$H$76</f>
        <v>55</v>
      </c>
      <c r="L43" s="412">
        <f>K43/'État des Résultats'!K14</f>
        <v>6.9768179367646593E-4</v>
      </c>
      <c r="N43" s="818">
        <f>+N42*$H$76</f>
        <v>55</v>
      </c>
      <c r="O43" s="412">
        <f>N43/'État des Résultats'!N14</f>
        <v>6.6474882601580344E-4</v>
      </c>
      <c r="Q43" s="818">
        <f>+Q42*$H$76</f>
        <v>55</v>
      </c>
      <c r="R43" s="412">
        <f>Q43/'État des Résultats'!Q14</f>
        <v>6.1741514844905314E-4</v>
      </c>
      <c r="T43" s="818">
        <f>+T42*$H$76</f>
        <v>55</v>
      </c>
      <c r="U43" s="412">
        <f>T43/'État des Résultats'!T14</f>
        <v>6.0078624349516898E-4</v>
      </c>
      <c r="W43" s="818">
        <f>+W42*$H$76</f>
        <v>55</v>
      </c>
      <c r="X43" s="412">
        <f>W43/'État des Résultats'!W14</f>
        <v>5.5933101163505104E-4</v>
      </c>
      <c r="Z43" s="818">
        <f>+Z42*$H$76</f>
        <v>55</v>
      </c>
      <c r="AA43" s="412">
        <f>Z43/'État des Résultats'!Z14</f>
        <v>5.5204444138422226E-4</v>
      </c>
      <c r="AC43" s="818">
        <f>+AC42*$H$76</f>
        <v>55</v>
      </c>
      <c r="AD43" s="412">
        <f>AC43/'État des Résultats'!AC14</f>
        <v>6.0372838501449543E-4</v>
      </c>
      <c r="AF43" s="818">
        <f>+AF42*$H$76</f>
        <v>55</v>
      </c>
      <c r="AG43" s="412">
        <f>AF43/'État des Résultats'!AF14</f>
        <v>5.8288255169165846E-4</v>
      </c>
      <c r="AI43" s="818">
        <f>+AI42*$H$76</f>
        <v>55</v>
      </c>
      <c r="AJ43" s="412">
        <f>AI43/'État des Résultats'!AI14</f>
        <v>6.2708754831970845E-4</v>
      </c>
      <c r="AK43" s="200"/>
      <c r="AL43" s="818">
        <f>+AL42*$H$76</f>
        <v>55</v>
      </c>
      <c r="AM43" s="412">
        <f>AL43/'État des Résultats'!AL14</f>
        <v>5.6426906688260726E-4</v>
      </c>
      <c r="AP43" s="811">
        <f>SUM(+$AL43+$AI43+$AF43+$AC43+$Z43+$W43+$T43+$Q43+$N43+$K43+$H43+$E43)</f>
        <v>660</v>
      </c>
      <c r="AQ43" s="457">
        <f>AP43/'État des Résultats'!AP14</f>
        <v>6.2587241685769569E-4</v>
      </c>
      <c r="AY43" s="621" t="s">
        <v>2</v>
      </c>
      <c r="AZ43" s="622" t="s">
        <v>2</v>
      </c>
    </row>
    <row r="44" spans="2:52" x14ac:dyDescent="0.15">
      <c r="B44" s="190">
        <f>B38</f>
        <v>6245</v>
      </c>
      <c r="C44" s="391" t="str">
        <f>' Total des coûts de MO'!C31</f>
        <v>CSST et CNT</v>
      </c>
      <c r="D44" s="190"/>
      <c r="E44" s="818">
        <f>(E42)*$F$72</f>
        <v>5</v>
      </c>
      <c r="F44" s="412">
        <f>E44/'État des Résultats'!E14</f>
        <v>6.8505663134819147E-5</v>
      </c>
      <c r="H44" s="818">
        <f>(H42)*$F$72</f>
        <v>5</v>
      </c>
      <c r="I44" s="412">
        <f>H44/'État des Résultats'!H14</f>
        <v>7.0677205423297555E-5</v>
      </c>
      <c r="K44" s="818">
        <f>(K42)*$F$72</f>
        <v>5</v>
      </c>
      <c r="L44" s="412">
        <f>K44/'État des Résultats'!K14</f>
        <v>6.3425617606951444E-5</v>
      </c>
      <c r="N44" s="818">
        <f>(N42)*$F$72</f>
        <v>5</v>
      </c>
      <c r="O44" s="412">
        <f>N44/'État des Résultats'!N14</f>
        <v>6.0431711455982131E-5</v>
      </c>
      <c r="Q44" s="818">
        <f>(Q42)*$F$72</f>
        <v>5</v>
      </c>
      <c r="R44" s="412">
        <f>Q44/'État des Résultats'!Q14</f>
        <v>5.6128649859004834E-5</v>
      </c>
      <c r="T44" s="818">
        <f>(T42)*$F$72</f>
        <v>5</v>
      </c>
      <c r="U44" s="412">
        <f>T44/'État des Résultats'!T14</f>
        <v>5.461693122683354E-5</v>
      </c>
      <c r="W44" s="818">
        <f>(W42)*$F$72</f>
        <v>5</v>
      </c>
      <c r="X44" s="412">
        <f>W44/'État des Résultats'!W14</f>
        <v>5.0848273785004642E-5</v>
      </c>
      <c r="Z44" s="818">
        <f>(Z42)*$F$72</f>
        <v>5</v>
      </c>
      <c r="AA44" s="412">
        <f>Z44/'État des Résultats'!Z14</f>
        <v>5.0185858307656571E-5</v>
      </c>
      <c r="AC44" s="818">
        <f>(AC42)*$F$72</f>
        <v>5</v>
      </c>
      <c r="AD44" s="412">
        <f>AC44/'État des Résultats'!AC14</f>
        <v>5.4884398637681409E-5</v>
      </c>
      <c r="AF44" s="818">
        <f>(AF42)*$F$72</f>
        <v>5</v>
      </c>
      <c r="AG44" s="412">
        <f>AF44/'État des Résultats'!AF14</f>
        <v>5.2989322881059858E-5</v>
      </c>
      <c r="AI44" s="818">
        <f>(AI42)*$F$72</f>
        <v>5</v>
      </c>
      <c r="AJ44" s="412">
        <f>AI44/'État des Résultats'!AI14</f>
        <v>5.7007958938155314E-5</v>
      </c>
      <c r="AK44" s="200"/>
      <c r="AL44" s="818">
        <f>(AL42)*$F$72</f>
        <v>5</v>
      </c>
      <c r="AM44" s="412">
        <f>AL44/'État des Résultats'!AL14</f>
        <v>5.1297187898418843E-5</v>
      </c>
      <c r="AP44" s="811">
        <f>SUM(+$AL44+$AI44+$AF44+$AC44+$Z44+$W44+$T44+$Q44+$N44+$K44+$H44+$E44)</f>
        <v>60</v>
      </c>
      <c r="AQ44" s="457">
        <f>AP44/'État des Résultats'!AP14</f>
        <v>5.6897492441608698E-5</v>
      </c>
    </row>
    <row r="45" spans="2:52" ht="14" thickBot="1" x14ac:dyDescent="0.2">
      <c r="B45" s="394"/>
      <c r="C45" s="395" t="s">
        <v>222</v>
      </c>
      <c r="D45" s="396"/>
      <c r="E45" s="823">
        <f>SUM(E42:E44)</f>
        <v>560</v>
      </c>
      <c r="F45" s="399">
        <f>SUM(F42:F44)</f>
        <v>7.6726342710997427E-3</v>
      </c>
      <c r="G45" s="213"/>
      <c r="H45" s="823">
        <f>SUM(H42:H44)</f>
        <v>560</v>
      </c>
      <c r="I45" s="399">
        <f>SUM(I42:I44)</f>
        <v>7.9158470074093268E-3</v>
      </c>
      <c r="J45" s="213"/>
      <c r="K45" s="823">
        <f>SUM(K42:K44)</f>
        <v>560</v>
      </c>
      <c r="L45" s="399">
        <f>SUM(L42:L44)</f>
        <v>7.1036691719785624E-3</v>
      </c>
      <c r="M45" s="213"/>
      <c r="N45" s="823">
        <f>SUM(N42:N44)</f>
        <v>560</v>
      </c>
      <c r="O45" s="399">
        <f>SUM(O42:O44)</f>
        <v>6.7683516830699987E-3</v>
      </c>
      <c r="P45" s="213"/>
      <c r="Q45" s="823">
        <f>SUM(Q42:Q44)</f>
        <v>560</v>
      </c>
      <c r="R45" s="399">
        <f>SUM(R42:R44)</f>
        <v>6.2864087842085413E-3</v>
      </c>
      <c r="S45" s="213"/>
      <c r="T45" s="823">
        <f>SUM(T42:T44)</f>
        <v>560</v>
      </c>
      <c r="U45" s="399">
        <f>SUM(U42:U44)</f>
        <v>6.1170962974053571E-3</v>
      </c>
      <c r="V45" s="213"/>
      <c r="W45" s="823">
        <f>SUM(W42:W44)</f>
        <v>560</v>
      </c>
      <c r="X45" s="399">
        <f>SUM(X42:X44)</f>
        <v>5.6950066639205191E-3</v>
      </c>
      <c r="Y45" s="213"/>
      <c r="Z45" s="823">
        <f>SUM(Z42:Z44)</f>
        <v>560</v>
      </c>
      <c r="AA45" s="399">
        <f>SUM(AA42:AA44)</f>
        <v>5.6208161304575361E-3</v>
      </c>
      <c r="AB45" s="213"/>
      <c r="AC45" s="823">
        <f>SUM(AC42:AC44)</f>
        <v>560</v>
      </c>
      <c r="AD45" s="399">
        <f>SUM(AD42:AD44)</f>
        <v>6.1470526474203179E-3</v>
      </c>
      <c r="AE45" s="213"/>
      <c r="AF45" s="823">
        <f>SUM(AF42:AF44)</f>
        <v>560</v>
      </c>
      <c r="AG45" s="399">
        <f>SUM(AG42:AG44)</f>
        <v>5.934804162678704E-3</v>
      </c>
      <c r="AH45" s="213"/>
      <c r="AI45" s="823">
        <f>SUM(AI42:AI44)</f>
        <v>560</v>
      </c>
      <c r="AJ45" s="399">
        <f>SUM(AJ42:AJ44)</f>
        <v>6.3848914010733952E-3</v>
      </c>
      <c r="AK45" s="398"/>
      <c r="AL45" s="823">
        <f>SUM(AL42:AL44)</f>
        <v>560</v>
      </c>
      <c r="AM45" s="399">
        <f>SUM(AM42:AM44)</f>
        <v>5.7452850446229097E-3</v>
      </c>
      <c r="AN45" s="213"/>
      <c r="AO45" s="213"/>
      <c r="AP45" s="839">
        <f>SUM(+$AL45+$AI45+$AF45+$AC45+$Z45+$W45+$T45+$Q45+$N45+$K45+$H45+$E45)</f>
        <v>6720</v>
      </c>
      <c r="AQ45" s="410">
        <f>AP45/'État des Résultats'!AP14</f>
        <v>6.3725191534601744E-3</v>
      </c>
      <c r="AR45" s="251"/>
      <c r="AS45" s="251"/>
      <c r="AT45" s="251"/>
    </row>
    <row r="46" spans="2:52" ht="14" thickBot="1" x14ac:dyDescent="0.2">
      <c r="B46" s="474"/>
      <c r="C46" s="474"/>
      <c r="D46" s="474"/>
      <c r="E46" s="828"/>
      <c r="F46" s="486"/>
      <c r="G46" s="474"/>
      <c r="H46" s="828"/>
      <c r="I46" s="486"/>
      <c r="J46" s="474"/>
      <c r="K46" s="828"/>
      <c r="L46" s="486"/>
      <c r="M46" s="474"/>
      <c r="N46" s="828"/>
      <c r="O46" s="486"/>
      <c r="P46" s="474"/>
      <c r="Q46" s="828"/>
      <c r="R46" s="486"/>
      <c r="S46" s="474"/>
      <c r="T46" s="828"/>
      <c r="U46" s="486"/>
      <c r="V46" s="474"/>
      <c r="W46" s="828"/>
      <c r="X46" s="486"/>
      <c r="Y46" s="474"/>
      <c r="Z46" s="828"/>
      <c r="AA46" s="486"/>
      <c r="AB46" s="474"/>
      <c r="AC46" s="828"/>
      <c r="AD46" s="486"/>
      <c r="AE46" s="474"/>
      <c r="AF46" s="828"/>
      <c r="AG46" s="486"/>
      <c r="AH46" s="474"/>
      <c r="AI46" s="828"/>
      <c r="AJ46" s="486"/>
      <c r="AK46" s="474"/>
      <c r="AL46" s="828"/>
      <c r="AM46" s="486"/>
      <c r="AN46" s="474"/>
      <c r="AO46" s="474"/>
      <c r="AP46" s="813" t="s">
        <v>2</v>
      </c>
      <c r="AQ46" s="485"/>
    </row>
    <row r="47" spans="2:52" ht="15" thickTop="1" thickBot="1" x14ac:dyDescent="0.2">
      <c r="B47" s="505"/>
      <c r="C47" s="497" t="str">
        <f>' Total des coûts de MO'!C19</f>
        <v>Salaire "Théâtralisation"</v>
      </c>
      <c r="D47" s="190"/>
      <c r="E47" s="821"/>
      <c r="F47" s="498"/>
      <c r="H47" s="821"/>
      <c r="I47" s="498"/>
      <c r="K47" s="821"/>
      <c r="L47" s="498"/>
      <c r="N47" s="821"/>
      <c r="O47" s="498"/>
      <c r="Q47" s="821"/>
      <c r="R47" s="498"/>
      <c r="T47" s="821"/>
      <c r="U47" s="498"/>
      <c r="W47" s="821"/>
      <c r="X47" s="498"/>
      <c r="Z47" s="821"/>
      <c r="AA47" s="498"/>
      <c r="AC47" s="821"/>
      <c r="AD47" s="498"/>
      <c r="AF47" s="821"/>
      <c r="AG47" s="498"/>
      <c r="AI47" s="821"/>
      <c r="AJ47" s="498"/>
      <c r="AK47" s="200"/>
      <c r="AL47" s="821"/>
      <c r="AM47" s="498"/>
      <c r="AP47" s="836"/>
      <c r="AQ47" s="503"/>
    </row>
    <row r="48" spans="2:52" ht="14" thickTop="1" x14ac:dyDescent="0.15">
      <c r="B48" s="190">
        <f>' Total des coûts de MO'!B19</f>
        <v>6170</v>
      </c>
      <c r="C48" s="391" t="str">
        <f>' Total des coûts de MO'!C11</f>
        <v>Salaires</v>
      </c>
      <c r="D48" s="190"/>
      <c r="E48" s="822">
        <v>500</v>
      </c>
      <c r="F48" s="460">
        <f>+E48/'État des Résultats'!E14</f>
        <v>6.8505663134819138E-3</v>
      </c>
      <c r="H48" s="822">
        <f>+E48</f>
        <v>500</v>
      </c>
      <c r="I48" s="460">
        <f>+H48/'État des Résultats'!H14</f>
        <v>7.0677205423297562E-3</v>
      </c>
      <c r="K48" s="822">
        <f>+H48</f>
        <v>500</v>
      </c>
      <c r="L48" s="460">
        <f>+K48/'État des Résultats'!K14</f>
        <v>6.3425617606951449E-3</v>
      </c>
      <c r="N48" s="822">
        <f>+K48</f>
        <v>500</v>
      </c>
      <c r="O48" s="460">
        <f>+N48/'État des Résultats'!N14</f>
        <v>6.0431711455982131E-3</v>
      </c>
      <c r="Q48" s="822">
        <f>+N48</f>
        <v>500</v>
      </c>
      <c r="R48" s="460">
        <f>+Q48/'État des Résultats'!Q14</f>
        <v>5.6128649859004832E-3</v>
      </c>
      <c r="T48" s="822">
        <f>+Q48</f>
        <v>500</v>
      </c>
      <c r="U48" s="460">
        <f>+T48/'État des Résultats'!T14</f>
        <v>5.461693122683354E-3</v>
      </c>
      <c r="W48" s="822">
        <f>+T48</f>
        <v>500</v>
      </c>
      <c r="X48" s="460">
        <f>+W48/'État des Résultats'!W14</f>
        <v>5.0848273785004637E-3</v>
      </c>
      <c r="Z48" s="822">
        <f>+W48</f>
        <v>500</v>
      </c>
      <c r="AA48" s="460">
        <f>+Z48/'État des Résultats'!Z14</f>
        <v>5.0185858307656575E-3</v>
      </c>
      <c r="AC48" s="822">
        <f>+Z48</f>
        <v>500</v>
      </c>
      <c r="AD48" s="460">
        <f>+AC48/'État des Résultats'!AC14</f>
        <v>5.4884398637681407E-3</v>
      </c>
      <c r="AF48" s="822">
        <f>+AC48</f>
        <v>500</v>
      </c>
      <c r="AG48" s="460">
        <f>+AF48/'État des Résultats'!AF14</f>
        <v>5.2989322881059854E-3</v>
      </c>
      <c r="AI48" s="822">
        <f>+AF48</f>
        <v>500</v>
      </c>
      <c r="AJ48" s="460">
        <f>+AI48/'État des Résultats'!AI14</f>
        <v>5.7007958938155318E-3</v>
      </c>
      <c r="AK48" s="200"/>
      <c r="AL48" s="822">
        <f>+AI48</f>
        <v>500</v>
      </c>
      <c r="AM48" s="460">
        <f>+AL48/'État des Résultats'!AL14</f>
        <v>5.1297187898418839E-3</v>
      </c>
      <c r="AP48" s="811">
        <f>SUM(+$AL48+$AI48+$AF48+$AC48+$Z48+$W48+$T48+$Q48+$N48+$K48+$H48+$E48)</f>
        <v>6000</v>
      </c>
      <c r="AQ48" s="457">
        <f>AP48/'État des Résultats'!AP14</f>
        <v>5.6897492441608695E-3</v>
      </c>
    </row>
    <row r="49" spans="2:53" x14ac:dyDescent="0.15">
      <c r="B49" s="190">
        <f>+B43</f>
        <v>6205</v>
      </c>
      <c r="C49" s="391" t="str">
        <f>' Total des coûts de MO'!C27</f>
        <v>Bénéfices gouvernementaux</v>
      </c>
      <c r="D49" s="190"/>
      <c r="E49" s="818">
        <f>+E48*$H$76</f>
        <v>55</v>
      </c>
      <c r="F49" s="412">
        <f>E49/'État des Résultats'!E14</f>
        <v>7.5356229448301051E-4</v>
      </c>
      <c r="H49" s="818">
        <f>+H48*$H$76</f>
        <v>55</v>
      </c>
      <c r="I49" s="412">
        <f>H49/'État des Résultats'!H14</f>
        <v>7.7744925965627309E-4</v>
      </c>
      <c r="K49" s="818">
        <f>+K48*$H$76</f>
        <v>55</v>
      </c>
      <c r="L49" s="412">
        <f>K49/'État des Résultats'!K14</f>
        <v>6.9768179367646593E-4</v>
      </c>
      <c r="N49" s="818">
        <f>+N48*$H$76</f>
        <v>55</v>
      </c>
      <c r="O49" s="412">
        <f>N49/'État des Résultats'!N14</f>
        <v>6.6474882601580344E-4</v>
      </c>
      <c r="Q49" s="818">
        <f>+Q48*$H$76</f>
        <v>55</v>
      </c>
      <c r="R49" s="412">
        <f>Q49/'État des Résultats'!Q14</f>
        <v>6.1741514844905314E-4</v>
      </c>
      <c r="T49" s="818">
        <f>+T48*$H$76</f>
        <v>55</v>
      </c>
      <c r="U49" s="412">
        <f>T49/'État des Résultats'!T14</f>
        <v>6.0078624349516898E-4</v>
      </c>
      <c r="W49" s="818">
        <f>+W48*$H$76</f>
        <v>55</v>
      </c>
      <c r="X49" s="412">
        <f>W49/'État des Résultats'!W14</f>
        <v>5.5933101163505104E-4</v>
      </c>
      <c r="Z49" s="818">
        <f>+Z48*$H$76</f>
        <v>55</v>
      </c>
      <c r="AA49" s="412">
        <f>Z49/'État des Résultats'!Z14</f>
        <v>5.5204444138422226E-4</v>
      </c>
      <c r="AC49" s="818">
        <f>+AC48*$H$76</f>
        <v>55</v>
      </c>
      <c r="AD49" s="412">
        <f>AC49/'État des Résultats'!AC14</f>
        <v>6.0372838501449543E-4</v>
      </c>
      <c r="AF49" s="818">
        <f>+AF48*$H$76</f>
        <v>55</v>
      </c>
      <c r="AG49" s="412">
        <f>AF49/'État des Résultats'!AF14</f>
        <v>5.8288255169165846E-4</v>
      </c>
      <c r="AI49" s="818">
        <f>+AI48*$H$76</f>
        <v>55</v>
      </c>
      <c r="AJ49" s="412">
        <f>AI49/'État des Résultats'!AI14</f>
        <v>6.2708754831970845E-4</v>
      </c>
      <c r="AK49" s="200"/>
      <c r="AL49" s="818">
        <f>+AL48*$H$76</f>
        <v>55</v>
      </c>
      <c r="AM49" s="412">
        <f>AL49/'État des Résultats'!AL14</f>
        <v>5.6426906688260726E-4</v>
      </c>
      <c r="AP49" s="811">
        <f>SUM(+$AL49+$AI49+$AF49+$AC49+$Z49+$W49+$T49+$Q49+$N49+$K49+$H49+$E49)</f>
        <v>660</v>
      </c>
      <c r="AQ49" s="457">
        <f>AP49/'État des Résultats'!AP14</f>
        <v>6.2587241685769569E-4</v>
      </c>
    </row>
    <row r="50" spans="2:53" ht="14" thickBot="1" x14ac:dyDescent="0.2">
      <c r="B50" s="190">
        <f>B44</f>
        <v>6245</v>
      </c>
      <c r="C50" s="391" t="str">
        <f>' Total des coûts de MO'!C31</f>
        <v>CSST et CNT</v>
      </c>
      <c r="D50" s="190"/>
      <c r="E50" s="818">
        <f>(E48)*$F$72</f>
        <v>5</v>
      </c>
      <c r="F50" s="413">
        <f>E50/'État des Résultats'!E14</f>
        <v>6.8505663134819147E-5</v>
      </c>
      <c r="H50" s="818">
        <f>(H48)*$F$72</f>
        <v>5</v>
      </c>
      <c r="I50" s="413">
        <f>H50/'État des Résultats'!H14</f>
        <v>7.0677205423297555E-5</v>
      </c>
      <c r="K50" s="818">
        <f>(K48)*$F$72</f>
        <v>5</v>
      </c>
      <c r="L50" s="413">
        <f>K50/'État des Résultats'!K14</f>
        <v>6.3425617606951444E-5</v>
      </c>
      <c r="N50" s="818">
        <f>(N48)*$F$72</f>
        <v>5</v>
      </c>
      <c r="O50" s="413">
        <f>N50/'État des Résultats'!N14</f>
        <v>6.0431711455982131E-5</v>
      </c>
      <c r="Q50" s="818">
        <f>(Q48)*$F$72</f>
        <v>5</v>
      </c>
      <c r="R50" s="413">
        <f>Q50/'État des Résultats'!Q14</f>
        <v>5.6128649859004834E-5</v>
      </c>
      <c r="T50" s="818">
        <f>(T48)*$F$72</f>
        <v>5</v>
      </c>
      <c r="U50" s="413">
        <f>T50/'État des Résultats'!T14</f>
        <v>5.461693122683354E-5</v>
      </c>
      <c r="W50" s="818">
        <f>(W48)*$F$72</f>
        <v>5</v>
      </c>
      <c r="X50" s="413">
        <f>W50/'État des Résultats'!W14</f>
        <v>5.0848273785004642E-5</v>
      </c>
      <c r="Z50" s="818">
        <f>(Z48)*$F$72</f>
        <v>5</v>
      </c>
      <c r="AA50" s="413">
        <f>Z50/'État des Résultats'!Z14</f>
        <v>5.0185858307656571E-5</v>
      </c>
      <c r="AC50" s="818">
        <f>(AC48)*$F$72</f>
        <v>5</v>
      </c>
      <c r="AD50" s="413">
        <f>AC50/'État des Résultats'!AC14</f>
        <v>5.4884398637681409E-5</v>
      </c>
      <c r="AF50" s="818">
        <f>(AF48)*$F$72</f>
        <v>5</v>
      </c>
      <c r="AG50" s="413">
        <f>AF50/'État des Résultats'!AF14</f>
        <v>5.2989322881059858E-5</v>
      </c>
      <c r="AI50" s="818">
        <f>(AI48)*$F$72</f>
        <v>5</v>
      </c>
      <c r="AJ50" s="413">
        <f>AI50/'État des Résultats'!AI14</f>
        <v>5.7007958938155314E-5</v>
      </c>
      <c r="AK50" s="200"/>
      <c r="AL50" s="818">
        <f>(AL48)*$F$72</f>
        <v>5</v>
      </c>
      <c r="AM50" s="413">
        <f>AL50/'État des Résultats'!AL14</f>
        <v>5.1297187898418843E-5</v>
      </c>
      <c r="AP50" s="840">
        <f>SUM(+$AL50+$AI50+$AF50+$AC50+$Z50+$W50+$T50+$Q50+$N50+$K50+$H50+$E50)</f>
        <v>60</v>
      </c>
      <c r="AQ50" s="457">
        <f>AP50/'État des Résultats'!AP14</f>
        <v>5.6897492441608698E-5</v>
      </c>
    </row>
    <row r="51" spans="2:53" ht="15" thickTop="1" thickBot="1" x14ac:dyDescent="0.2">
      <c r="B51" s="469"/>
      <c r="C51" s="470" t="s">
        <v>223</v>
      </c>
      <c r="D51" s="396"/>
      <c r="E51" s="823">
        <f>SUM(E48:E50)</f>
        <v>560</v>
      </c>
      <c r="F51" s="399">
        <f>SUM(F48:F50)</f>
        <v>7.6726342710997427E-3</v>
      </c>
      <c r="G51" s="213"/>
      <c r="H51" s="823">
        <f>SUM(H48:H50)</f>
        <v>560</v>
      </c>
      <c r="I51" s="399">
        <f>SUM(I48:I50)</f>
        <v>7.9158470074093268E-3</v>
      </c>
      <c r="J51" s="213"/>
      <c r="K51" s="823">
        <f>SUM(K48:K50)</f>
        <v>560</v>
      </c>
      <c r="L51" s="399">
        <f>SUM(L48:L50)</f>
        <v>7.1036691719785624E-3</v>
      </c>
      <c r="M51" s="213"/>
      <c r="N51" s="823">
        <f>SUM(N48:N50)</f>
        <v>560</v>
      </c>
      <c r="O51" s="399">
        <f>SUM(O48:O50)</f>
        <v>6.7683516830699987E-3</v>
      </c>
      <c r="P51" s="213"/>
      <c r="Q51" s="823">
        <f>SUM(Q48:Q50)</f>
        <v>560</v>
      </c>
      <c r="R51" s="399">
        <f>SUM(R48:R50)</f>
        <v>6.2864087842085413E-3</v>
      </c>
      <c r="S51" s="213"/>
      <c r="T51" s="823">
        <f>SUM(T48:T50)</f>
        <v>560</v>
      </c>
      <c r="U51" s="399">
        <f>SUM(U48:U50)</f>
        <v>6.1170962974053571E-3</v>
      </c>
      <c r="V51" s="213"/>
      <c r="W51" s="823">
        <f>SUM(W48:W50)</f>
        <v>560</v>
      </c>
      <c r="X51" s="399">
        <f>SUM(X48:X50)</f>
        <v>5.6950066639205191E-3</v>
      </c>
      <c r="Y51" s="213"/>
      <c r="Z51" s="823">
        <f>SUM(Z48:Z50)</f>
        <v>560</v>
      </c>
      <c r="AA51" s="399">
        <f>SUM(AA48:AA50)</f>
        <v>5.6208161304575361E-3</v>
      </c>
      <c r="AB51" s="213"/>
      <c r="AC51" s="823">
        <f>SUM(AC48:AC50)</f>
        <v>560</v>
      </c>
      <c r="AD51" s="399">
        <f>SUM(AD48:AD50)</f>
        <v>6.1470526474203179E-3</v>
      </c>
      <c r="AE51" s="213"/>
      <c r="AF51" s="823">
        <f>SUM(AF48:AF50)</f>
        <v>560</v>
      </c>
      <c r="AG51" s="399">
        <f>SUM(AG48:AG50)</f>
        <v>5.934804162678704E-3</v>
      </c>
      <c r="AH51" s="213"/>
      <c r="AI51" s="823">
        <f>SUM(AI48:AI50)</f>
        <v>560</v>
      </c>
      <c r="AJ51" s="399">
        <f>SUM(AJ48:AJ50)</f>
        <v>6.3848914010733952E-3</v>
      </c>
      <c r="AK51" s="398"/>
      <c r="AL51" s="823">
        <f>SUM(AL48:AL50)</f>
        <v>560</v>
      </c>
      <c r="AM51" s="399">
        <f>SUM(AM48:AM50)</f>
        <v>5.7452850446229097E-3</v>
      </c>
      <c r="AN51" s="213"/>
      <c r="AO51" s="213"/>
      <c r="AP51" s="839">
        <f>SUM(+$AL51+$AI51+$AF51+$AC51+$Z51+$W51+$T51+$Q51+$N51+$K51+$H51+$E51)</f>
        <v>6720</v>
      </c>
      <c r="AQ51" s="414">
        <f>AP51/'État des Résultats'!AP14</f>
        <v>6.3725191534601744E-3</v>
      </c>
      <c r="AR51" s="251"/>
      <c r="AS51" s="251"/>
      <c r="AT51" s="251"/>
      <c r="AU51" s="251"/>
    </row>
    <row r="52" spans="2:53" ht="15" thickTop="1" thickBot="1" x14ac:dyDescent="0.2">
      <c r="B52" s="479"/>
      <c r="C52" s="487"/>
      <c r="D52" s="487"/>
      <c r="E52" s="829"/>
      <c r="F52" s="488"/>
      <c r="G52" s="487"/>
      <c r="H52" s="829"/>
      <c r="I52" s="488"/>
      <c r="J52" s="487"/>
      <c r="K52" s="829"/>
      <c r="L52" s="488"/>
      <c r="M52" s="487"/>
      <c r="N52" s="829"/>
      <c r="O52" s="488"/>
      <c r="P52" s="487"/>
      <c r="Q52" s="829"/>
      <c r="R52" s="488"/>
      <c r="S52" s="487"/>
      <c r="T52" s="829"/>
      <c r="U52" s="488"/>
      <c r="V52" s="487"/>
      <c r="W52" s="829"/>
      <c r="X52" s="488"/>
      <c r="Y52" s="487"/>
      <c r="Z52" s="829"/>
      <c r="AA52" s="488"/>
      <c r="AB52" s="487"/>
      <c r="AC52" s="829"/>
      <c r="AD52" s="488"/>
      <c r="AE52" s="487"/>
      <c r="AF52" s="829"/>
      <c r="AG52" s="488"/>
      <c r="AH52" s="487"/>
      <c r="AI52" s="829"/>
      <c r="AJ52" s="488"/>
      <c r="AK52" s="487"/>
      <c r="AL52" s="829"/>
      <c r="AM52" s="488"/>
      <c r="AN52" s="487"/>
      <c r="AO52" s="487"/>
      <c r="AP52" s="841"/>
      <c r="AQ52" s="488"/>
      <c r="AR52" s="327"/>
      <c r="AS52" s="251"/>
      <c r="AT52" s="251"/>
      <c r="AU52" s="251"/>
    </row>
    <row r="53" spans="2:53" ht="15" thickTop="1" thickBot="1" x14ac:dyDescent="0.2">
      <c r="B53" s="505"/>
      <c r="C53" s="497" t="str">
        <f>' Total des coûts de MO'!C20</f>
        <v>Salaire "R&amp;D"</v>
      </c>
      <c r="D53" s="190"/>
      <c r="E53" s="821"/>
      <c r="F53" s="498"/>
      <c r="H53" s="821"/>
      <c r="I53" s="498"/>
      <c r="K53" s="821"/>
      <c r="L53" s="498"/>
      <c r="N53" s="821"/>
      <c r="O53" s="498"/>
      <c r="Q53" s="821"/>
      <c r="R53" s="498"/>
      <c r="T53" s="821"/>
      <c r="U53" s="498"/>
      <c r="W53" s="821"/>
      <c r="X53" s="498"/>
      <c r="Z53" s="821"/>
      <c r="AA53" s="498"/>
      <c r="AC53" s="821"/>
      <c r="AD53" s="498"/>
      <c r="AF53" s="821"/>
      <c r="AG53" s="498"/>
      <c r="AI53" s="833"/>
      <c r="AJ53" s="509"/>
      <c r="AK53" s="200"/>
      <c r="AL53" s="821"/>
      <c r="AM53" s="498"/>
      <c r="AP53" s="836"/>
      <c r="AQ53" s="503"/>
      <c r="AR53" s="327"/>
      <c r="AS53" s="251"/>
      <c r="AT53" s="251"/>
      <c r="AU53" s="251"/>
    </row>
    <row r="54" spans="2:53" ht="14" thickTop="1" x14ac:dyDescent="0.15">
      <c r="B54" s="190">
        <f>' Total des coûts de MO'!B20</f>
        <v>6180</v>
      </c>
      <c r="C54" s="391" t="str">
        <f>' Total des coûts de MO'!C11</f>
        <v>Salaires</v>
      </c>
      <c r="D54" s="190"/>
      <c r="E54" s="822">
        <v>500</v>
      </c>
      <c r="F54" s="460">
        <f>E54/'État des Résultats'!E14</f>
        <v>6.8505663134819138E-3</v>
      </c>
      <c r="H54" s="822">
        <f>+E54</f>
        <v>500</v>
      </c>
      <c r="I54" s="460">
        <f>H54/'État des Résultats'!H14</f>
        <v>7.0677205423297562E-3</v>
      </c>
      <c r="K54" s="822">
        <f>+H54</f>
        <v>500</v>
      </c>
      <c r="L54" s="460">
        <f>K54/'État des Résultats'!K14</f>
        <v>6.3425617606951449E-3</v>
      </c>
      <c r="N54" s="822">
        <f>+K54</f>
        <v>500</v>
      </c>
      <c r="O54" s="460">
        <f>N54/'État des Résultats'!N14</f>
        <v>6.0431711455982131E-3</v>
      </c>
      <c r="Q54" s="822">
        <f>+N54</f>
        <v>500</v>
      </c>
      <c r="R54" s="460">
        <f>Q54/'État des Résultats'!Q14</f>
        <v>5.6128649859004832E-3</v>
      </c>
      <c r="T54" s="822">
        <f>+Q54</f>
        <v>500</v>
      </c>
      <c r="U54" s="460">
        <f>T54/'État des Résultats'!T14</f>
        <v>5.461693122683354E-3</v>
      </c>
      <c r="W54" s="822">
        <f>+T54</f>
        <v>500</v>
      </c>
      <c r="X54" s="460">
        <f>W54/'État des Résultats'!W14</f>
        <v>5.0848273785004637E-3</v>
      </c>
      <c r="Z54" s="822">
        <f>+W54</f>
        <v>500</v>
      </c>
      <c r="AA54" s="460">
        <f>Z54/'État des Résultats'!Z14</f>
        <v>5.0185858307656575E-3</v>
      </c>
      <c r="AC54" s="822">
        <f>+Z54</f>
        <v>500</v>
      </c>
      <c r="AD54" s="460">
        <f>AC54/'État des Résultats'!AC14</f>
        <v>5.4884398637681407E-3</v>
      </c>
      <c r="AF54" s="822">
        <f>+AC54</f>
        <v>500</v>
      </c>
      <c r="AG54" s="460">
        <f>AF54/'État des Résultats'!AF14</f>
        <v>5.2989322881059854E-3</v>
      </c>
      <c r="AI54" s="822">
        <f>+AF54</f>
        <v>500</v>
      </c>
      <c r="AJ54" s="460">
        <f>AI54/'État des Résultats'!AI14</f>
        <v>5.7007958938155318E-3</v>
      </c>
      <c r="AK54" s="200"/>
      <c r="AL54" s="822">
        <f>+AI54</f>
        <v>500</v>
      </c>
      <c r="AM54" s="460">
        <f>AL54/'État des Résultats'!AL14</f>
        <v>5.1297187898418839E-3</v>
      </c>
      <c r="AP54" s="811">
        <f>SUM(+$AL54+$AI54+$AF54+$AC54+$Z54+$W54+$T54+$Q54+$N54+$K54+$H54+$E54)</f>
        <v>6000</v>
      </c>
      <c r="AQ54" s="457">
        <f>AP54/'État des Résultats'!AP14</f>
        <v>5.6897492441608695E-3</v>
      </c>
      <c r="AR54" s="327"/>
      <c r="AS54" s="251"/>
      <c r="AT54" s="251"/>
      <c r="AU54" s="251"/>
    </row>
    <row r="55" spans="2:53" x14ac:dyDescent="0.15">
      <c r="B55" s="190">
        <f>+B49</f>
        <v>6205</v>
      </c>
      <c r="C55" s="391" t="str">
        <f>' Total des coûts de MO'!C27</f>
        <v>Bénéfices gouvernementaux</v>
      </c>
      <c r="D55" s="190"/>
      <c r="E55" s="818">
        <f>+E54*$H$76</f>
        <v>55</v>
      </c>
      <c r="F55" s="412">
        <f>E55/'État des Résultats'!E14</f>
        <v>7.5356229448301051E-4</v>
      </c>
      <c r="H55" s="818">
        <f>+H54*$H$76</f>
        <v>55</v>
      </c>
      <c r="I55" s="412">
        <f>H55/'État des Résultats'!H14</f>
        <v>7.7744925965627309E-4</v>
      </c>
      <c r="K55" s="818">
        <f>+K54*$H$76</f>
        <v>55</v>
      </c>
      <c r="L55" s="412">
        <f>K55/'État des Résultats'!K14</f>
        <v>6.9768179367646593E-4</v>
      </c>
      <c r="N55" s="818">
        <f>+N54*$H$76</f>
        <v>55</v>
      </c>
      <c r="O55" s="412">
        <f>N55/'État des Résultats'!N14</f>
        <v>6.6474882601580344E-4</v>
      </c>
      <c r="Q55" s="818">
        <f>+Q54*$H$76</f>
        <v>55</v>
      </c>
      <c r="R55" s="412">
        <f>Q55/'État des Résultats'!Q14</f>
        <v>6.1741514844905314E-4</v>
      </c>
      <c r="T55" s="818">
        <f>+T54*$H$76</f>
        <v>55</v>
      </c>
      <c r="U55" s="412">
        <f>T55/'État des Résultats'!T14</f>
        <v>6.0078624349516898E-4</v>
      </c>
      <c r="W55" s="818">
        <f>+W54*$H$76</f>
        <v>55</v>
      </c>
      <c r="X55" s="412">
        <f>W55/'État des Résultats'!W14</f>
        <v>5.5933101163505104E-4</v>
      </c>
      <c r="Z55" s="818">
        <f>+Z54*$H$76</f>
        <v>55</v>
      </c>
      <c r="AA55" s="412">
        <f>Z55/'État des Résultats'!Z14</f>
        <v>5.5204444138422226E-4</v>
      </c>
      <c r="AC55" s="818">
        <f>+AC54*$H$76</f>
        <v>55</v>
      </c>
      <c r="AD55" s="412">
        <f>AC55/'État des Résultats'!AC14</f>
        <v>6.0372838501449543E-4</v>
      </c>
      <c r="AF55" s="818">
        <f>+AF54*$H$76</f>
        <v>55</v>
      </c>
      <c r="AG55" s="412">
        <f>AF55/'État des Résultats'!AF14</f>
        <v>5.8288255169165846E-4</v>
      </c>
      <c r="AI55" s="818">
        <f>+AI54*$H$76</f>
        <v>55</v>
      </c>
      <c r="AJ55" s="412">
        <f>AI55/'État des Résultats'!AI14</f>
        <v>6.2708754831970845E-4</v>
      </c>
      <c r="AK55" s="200"/>
      <c r="AL55" s="818">
        <f>+AL54*$H$76</f>
        <v>55</v>
      </c>
      <c r="AM55" s="412">
        <f>AL55/'État des Résultats'!AL14</f>
        <v>5.6426906688260726E-4</v>
      </c>
      <c r="AP55" s="811">
        <f>SUM(+$AL55+$AI55+$AF55+$AC55+$Z55+$W55+$T55+$Q55+$N55+$K55+$H55+$E55)</f>
        <v>660</v>
      </c>
      <c r="AQ55" s="457">
        <f>AP55/'État des Résultats'!AP14</f>
        <v>6.2587241685769569E-4</v>
      </c>
      <c r="AR55" s="327"/>
      <c r="AS55" s="251"/>
      <c r="AT55" s="251"/>
      <c r="AU55" s="251"/>
    </row>
    <row r="56" spans="2:53" ht="14" thickBot="1" x14ac:dyDescent="0.2">
      <c r="B56" s="190">
        <f>B50</f>
        <v>6245</v>
      </c>
      <c r="C56" s="391" t="str">
        <f>' Total des coûts de MO'!C31</f>
        <v>CSST et CNT</v>
      </c>
      <c r="D56" s="190"/>
      <c r="E56" s="818">
        <f>(E54)*$F$72</f>
        <v>5</v>
      </c>
      <c r="F56" s="413">
        <f>E56/'État des Résultats'!E14</f>
        <v>6.8505663134819147E-5</v>
      </c>
      <c r="H56" s="818">
        <f>(H54)*$F$72</f>
        <v>5</v>
      </c>
      <c r="I56" s="413">
        <f>H56/'État des Résultats'!H14</f>
        <v>7.0677205423297555E-5</v>
      </c>
      <c r="K56" s="818">
        <f>(K54)*$F$72</f>
        <v>5</v>
      </c>
      <c r="L56" s="413">
        <f>K56/'État des Résultats'!K14</f>
        <v>6.3425617606951444E-5</v>
      </c>
      <c r="N56" s="818">
        <f>(N54)*$F$72</f>
        <v>5</v>
      </c>
      <c r="O56" s="413">
        <f>N56/'État des Résultats'!N14</f>
        <v>6.0431711455982131E-5</v>
      </c>
      <c r="Q56" s="818">
        <f>(Q54)*$F$72</f>
        <v>5</v>
      </c>
      <c r="R56" s="413">
        <f>Q56/'État des Résultats'!Q14</f>
        <v>5.6128649859004834E-5</v>
      </c>
      <c r="T56" s="818">
        <f>(T54)*$F$72</f>
        <v>5</v>
      </c>
      <c r="U56" s="413">
        <f>T56/'État des Résultats'!T14</f>
        <v>5.461693122683354E-5</v>
      </c>
      <c r="W56" s="818">
        <f>(W54)*$F$72</f>
        <v>5</v>
      </c>
      <c r="X56" s="413">
        <f>W56/'État des Résultats'!W14</f>
        <v>5.0848273785004642E-5</v>
      </c>
      <c r="Z56" s="818">
        <f>(Z54)*$F$72</f>
        <v>5</v>
      </c>
      <c r="AA56" s="413">
        <f>Z56/'État des Résultats'!Z14</f>
        <v>5.0185858307656571E-5</v>
      </c>
      <c r="AC56" s="818">
        <f>(AC54)*$F$72</f>
        <v>5</v>
      </c>
      <c r="AD56" s="413">
        <f>AC56/'État des Résultats'!AC14</f>
        <v>5.4884398637681409E-5</v>
      </c>
      <c r="AF56" s="818">
        <f>(AF54)*$F$72</f>
        <v>5</v>
      </c>
      <c r="AG56" s="413">
        <f>AF56/'État des Résultats'!AF14</f>
        <v>5.2989322881059858E-5</v>
      </c>
      <c r="AI56" s="818">
        <f>(AI54)*$F$72</f>
        <v>5</v>
      </c>
      <c r="AJ56" s="413">
        <f>AI56/'État des Résultats'!AI14</f>
        <v>5.7007958938155314E-5</v>
      </c>
      <c r="AK56" s="200"/>
      <c r="AL56" s="818">
        <f>(AL54)*$F$72</f>
        <v>5</v>
      </c>
      <c r="AM56" s="413">
        <f>AL56/'État des Résultats'!AL14</f>
        <v>5.1297187898418843E-5</v>
      </c>
      <c r="AP56" s="840">
        <f>SUM(+$AL56+$AI56+$AF56+$AC56+$Z56+$W56+$T56+$Q56+$N56+$K56+$H56+$E56)</f>
        <v>60</v>
      </c>
      <c r="AQ56" s="457">
        <f>AP56/'État des Résultats'!AP14</f>
        <v>5.6897492441608698E-5</v>
      </c>
      <c r="AR56" s="327"/>
      <c r="AS56" s="251"/>
      <c r="AT56" s="251"/>
      <c r="AU56" s="251"/>
    </row>
    <row r="57" spans="2:53" ht="15" thickTop="1" thickBot="1" x14ac:dyDescent="0.2">
      <c r="B57" s="469"/>
      <c r="C57" s="470" t="s">
        <v>224</v>
      </c>
      <c r="D57" s="396"/>
      <c r="E57" s="823">
        <f>SUM(E54:E56)</f>
        <v>560</v>
      </c>
      <c r="F57" s="399">
        <f>SUM(F54:F56)</f>
        <v>7.6726342710997427E-3</v>
      </c>
      <c r="G57" s="213"/>
      <c r="H57" s="823">
        <f>SUM(H54:H56)</f>
        <v>560</v>
      </c>
      <c r="I57" s="399">
        <f>SUM(I54:I56)</f>
        <v>7.9158470074093268E-3</v>
      </c>
      <c r="J57" s="213"/>
      <c r="K57" s="823">
        <f>SUM(K54:K56)</f>
        <v>560</v>
      </c>
      <c r="L57" s="399">
        <f>SUM(L54:L56)</f>
        <v>7.1036691719785624E-3</v>
      </c>
      <c r="M57" s="213"/>
      <c r="N57" s="823">
        <f>SUM(N54:N56)</f>
        <v>560</v>
      </c>
      <c r="O57" s="399">
        <f>SUM(O54:O56)</f>
        <v>6.7683516830699987E-3</v>
      </c>
      <c r="P57" s="213"/>
      <c r="Q57" s="823">
        <f>SUM(Q54:Q56)</f>
        <v>560</v>
      </c>
      <c r="R57" s="399">
        <f>SUM(R54:R56)</f>
        <v>6.2864087842085413E-3</v>
      </c>
      <c r="S57" s="213"/>
      <c r="T57" s="823">
        <f>SUM(T54:T56)</f>
        <v>560</v>
      </c>
      <c r="U57" s="399">
        <f>SUM(U54:U56)</f>
        <v>6.1170962974053571E-3</v>
      </c>
      <c r="V57" s="213"/>
      <c r="W57" s="823">
        <f>SUM(W54:W56)</f>
        <v>560</v>
      </c>
      <c r="X57" s="399">
        <f>SUM(X54:X56)</f>
        <v>5.6950066639205191E-3</v>
      </c>
      <c r="Y57" s="213"/>
      <c r="Z57" s="823">
        <f>SUM(Z54:Z56)</f>
        <v>560</v>
      </c>
      <c r="AA57" s="399">
        <f>SUM(AA54:AA56)</f>
        <v>5.6208161304575361E-3</v>
      </c>
      <c r="AB57" s="213"/>
      <c r="AC57" s="823">
        <f>SUM(AC54:AC56)</f>
        <v>560</v>
      </c>
      <c r="AD57" s="399">
        <f>SUM(AD54:AD56)</f>
        <v>6.1470526474203179E-3</v>
      </c>
      <c r="AE57" s="213"/>
      <c r="AF57" s="823">
        <f>SUM(AF54:AF56)</f>
        <v>560</v>
      </c>
      <c r="AG57" s="399">
        <f>SUM(AG54:AG56)</f>
        <v>5.934804162678704E-3</v>
      </c>
      <c r="AH57" s="213"/>
      <c r="AI57" s="823">
        <f>SUM(AI54:AI56)</f>
        <v>560</v>
      </c>
      <c r="AJ57" s="399">
        <f>SUM(AJ54:AJ56)</f>
        <v>6.3848914010733952E-3</v>
      </c>
      <c r="AK57" s="398"/>
      <c r="AL57" s="823">
        <f>SUM(AL54:AL56)</f>
        <v>560</v>
      </c>
      <c r="AM57" s="399">
        <f>SUM(AM54:AM56)</f>
        <v>5.7452850446229097E-3</v>
      </c>
      <c r="AN57" s="213"/>
      <c r="AO57" s="213"/>
      <c r="AP57" s="839">
        <f>SUM(+$AL57+$AI57+$AF57+$AC57+$Z57+$W57+$T57+$Q57+$N57+$K57+$H57+$E57)</f>
        <v>6720</v>
      </c>
      <c r="AQ57" s="414">
        <f>AP57/'État des Résultats'!AP14</f>
        <v>6.3725191534601744E-3</v>
      </c>
      <c r="AR57" s="327"/>
      <c r="AS57" s="251"/>
      <c r="AT57" s="251"/>
      <c r="AU57" s="251"/>
    </row>
    <row r="58" spans="2:53" ht="15" thickTop="1" thickBot="1" x14ac:dyDescent="0.2">
      <c r="B58" s="474"/>
      <c r="C58" s="474"/>
      <c r="D58" s="474"/>
      <c r="E58" s="828"/>
      <c r="F58" s="486"/>
      <c r="G58" s="474"/>
      <c r="H58" s="828"/>
      <c r="I58" s="486"/>
      <c r="J58" s="474"/>
      <c r="K58" s="828"/>
      <c r="L58" s="486"/>
      <c r="M58" s="474"/>
      <c r="N58" s="828"/>
      <c r="O58" s="486"/>
      <c r="P58" s="474"/>
      <c r="Q58" s="828"/>
      <c r="R58" s="486"/>
      <c r="S58" s="474"/>
      <c r="T58" s="828"/>
      <c r="U58" s="486"/>
      <c r="V58" s="474"/>
      <c r="W58" s="828"/>
      <c r="X58" s="486"/>
      <c r="Y58" s="474"/>
      <c r="Z58" s="828"/>
      <c r="AA58" s="486"/>
      <c r="AB58" s="474"/>
      <c r="AC58" s="828"/>
      <c r="AD58" s="486"/>
      <c r="AE58" s="474"/>
      <c r="AF58" s="828"/>
      <c r="AG58" s="486"/>
      <c r="AH58" s="474"/>
      <c r="AI58" s="828"/>
      <c r="AJ58" s="486"/>
      <c r="AK58" s="474"/>
      <c r="AL58" s="828"/>
      <c r="AM58" s="486"/>
      <c r="AN58" s="474"/>
      <c r="AO58" s="474"/>
      <c r="AP58" s="813"/>
      <c r="AQ58" s="489"/>
    </row>
    <row r="59" spans="2:53" ht="15" thickTop="1" thickBot="1" x14ac:dyDescent="0.2">
      <c r="B59" s="505"/>
      <c r="C59" s="497" t="str">
        <f>' Total des coûts de MO'!C21</f>
        <v>Salaire "Autres"</v>
      </c>
      <c r="D59" s="508"/>
      <c r="E59" s="821"/>
      <c r="F59" s="498"/>
      <c r="H59" s="821"/>
      <c r="I59" s="498"/>
      <c r="K59" s="821"/>
      <c r="L59" s="498"/>
      <c r="N59" s="821"/>
      <c r="O59" s="498"/>
      <c r="Q59" s="821"/>
      <c r="R59" s="498"/>
      <c r="T59" s="821"/>
      <c r="U59" s="498"/>
      <c r="W59" s="821"/>
      <c r="X59" s="498"/>
      <c r="Z59" s="821"/>
      <c r="AA59" s="498"/>
      <c r="AC59" s="821"/>
      <c r="AD59" s="498"/>
      <c r="AF59" s="821"/>
      <c r="AG59" s="498"/>
      <c r="AI59" s="821"/>
      <c r="AJ59" s="498"/>
      <c r="AK59" s="200"/>
      <c r="AL59" s="821"/>
      <c r="AM59" s="498"/>
      <c r="AP59" s="836"/>
      <c r="AQ59" s="503"/>
      <c r="AR59" s="209"/>
      <c r="AS59" s="209"/>
      <c r="AT59" s="209"/>
      <c r="AU59" s="209"/>
      <c r="AV59" s="209"/>
      <c r="AW59" s="209"/>
      <c r="AX59" s="209"/>
      <c r="AY59" s="209"/>
      <c r="AZ59" s="209"/>
      <c r="BA59" s="209"/>
    </row>
    <row r="60" spans="2:53" ht="14" thickTop="1" x14ac:dyDescent="0.15">
      <c r="B60" s="190">
        <f>' Total des coûts de MO'!B21</f>
        <v>6190</v>
      </c>
      <c r="C60" s="391" t="str">
        <f>' Total des coûts de MO'!C11</f>
        <v>Salaires</v>
      </c>
      <c r="D60" s="190"/>
      <c r="E60" s="822">
        <v>0</v>
      </c>
      <c r="F60" s="460">
        <f>E60/'État des Résultats'!E14</f>
        <v>0</v>
      </c>
      <c r="H60" s="822">
        <v>0</v>
      </c>
      <c r="I60" s="460">
        <f>H60/'État des Résultats'!H14</f>
        <v>0</v>
      </c>
      <c r="K60" s="822">
        <v>0</v>
      </c>
      <c r="L60" s="460">
        <f>K60/'État des Résultats'!K14</f>
        <v>0</v>
      </c>
      <c r="N60" s="822">
        <v>0</v>
      </c>
      <c r="O60" s="460">
        <f>N60/'État des Résultats'!N14</f>
        <v>0</v>
      </c>
      <c r="Q60" s="822">
        <v>0</v>
      </c>
      <c r="R60" s="460">
        <f>Q60/'État des Résultats'!Q14</f>
        <v>0</v>
      </c>
      <c r="T60" s="822">
        <v>0</v>
      </c>
      <c r="U60" s="460">
        <f>T60/'État des Résultats'!T14</f>
        <v>0</v>
      </c>
      <c r="W60" s="822">
        <v>0</v>
      </c>
      <c r="X60" s="460">
        <f>W60/'État des Résultats'!W14</f>
        <v>0</v>
      </c>
      <c r="Z60" s="822">
        <v>0</v>
      </c>
      <c r="AA60" s="460">
        <f>Z60/'État des Résultats'!Z14</f>
        <v>0</v>
      </c>
      <c r="AC60" s="822">
        <v>0</v>
      </c>
      <c r="AD60" s="460">
        <f>AC60/'État des Résultats'!AC14</f>
        <v>0</v>
      </c>
      <c r="AF60" s="822">
        <v>0</v>
      </c>
      <c r="AG60" s="460">
        <f>AF60/'État des Résultats'!AF14</f>
        <v>0</v>
      </c>
      <c r="AI60" s="822">
        <v>0</v>
      </c>
      <c r="AJ60" s="460">
        <f>AI60/'État des Résultats'!AI14</f>
        <v>0</v>
      </c>
      <c r="AK60" s="200"/>
      <c r="AL60" s="822">
        <v>0</v>
      </c>
      <c r="AM60" s="460">
        <f>AL60/'État des Résultats'!AL14</f>
        <v>0</v>
      </c>
      <c r="AP60" s="811">
        <f>SUM(+$AL60+$AI60+$AF60+$AC60+$Z60+$W60+$T60+$Q60+$N60+$K60+$H60+$E60)</f>
        <v>0</v>
      </c>
      <c r="AQ60" s="457">
        <f>AP60/'État des Résultats'!AP14</f>
        <v>0</v>
      </c>
      <c r="AR60" s="209"/>
      <c r="AS60" s="209"/>
      <c r="AT60" s="209"/>
      <c r="AU60" s="209"/>
      <c r="AV60" s="209"/>
      <c r="AW60" s="209"/>
      <c r="AX60" s="209"/>
      <c r="AY60" s="209"/>
      <c r="AZ60" s="209"/>
      <c r="BA60" s="209"/>
    </row>
    <row r="61" spans="2:53" x14ac:dyDescent="0.15">
      <c r="B61" s="190">
        <f>B55</f>
        <v>6205</v>
      </c>
      <c r="C61" s="391" t="str">
        <f>' Total des coûts de MO'!C27</f>
        <v>Bénéfices gouvernementaux</v>
      </c>
      <c r="D61" s="190"/>
      <c r="E61" s="818">
        <f>+E60*$H$76</f>
        <v>0</v>
      </c>
      <c r="F61" s="412">
        <f>E61/'État des Résultats'!E14</f>
        <v>0</v>
      </c>
      <c r="H61" s="818">
        <f>+H60*$H$76</f>
        <v>0</v>
      </c>
      <c r="I61" s="412">
        <f>H61/'État des Résultats'!H14</f>
        <v>0</v>
      </c>
      <c r="K61" s="818">
        <f>+K60*$H$76</f>
        <v>0</v>
      </c>
      <c r="L61" s="412">
        <f>K61/'État des Résultats'!K14</f>
        <v>0</v>
      </c>
      <c r="N61" s="818">
        <f>+N60*$H$76</f>
        <v>0</v>
      </c>
      <c r="O61" s="412">
        <f>N61/'État des Résultats'!N14</f>
        <v>0</v>
      </c>
      <c r="Q61" s="818">
        <f>+Q60*$H$76</f>
        <v>0</v>
      </c>
      <c r="R61" s="412">
        <f>Q61/'État des Résultats'!Q14</f>
        <v>0</v>
      </c>
      <c r="T61" s="818">
        <f>+T60*$H$76</f>
        <v>0</v>
      </c>
      <c r="U61" s="412">
        <f>T61/'État des Résultats'!T14</f>
        <v>0</v>
      </c>
      <c r="W61" s="818">
        <f>+W60*$H$76</f>
        <v>0</v>
      </c>
      <c r="X61" s="412">
        <f>W61/'État des Résultats'!W14</f>
        <v>0</v>
      </c>
      <c r="Z61" s="818">
        <f>+Z60*$H$76</f>
        <v>0</v>
      </c>
      <c r="AA61" s="412">
        <f>Z61/'État des Résultats'!Z14</f>
        <v>0</v>
      </c>
      <c r="AC61" s="818">
        <f>+AC60*$H$76</f>
        <v>0</v>
      </c>
      <c r="AD61" s="412">
        <f>AC61/'État des Résultats'!AC14</f>
        <v>0</v>
      </c>
      <c r="AF61" s="818">
        <f>+AF60*$H$76</f>
        <v>0</v>
      </c>
      <c r="AG61" s="412">
        <f>AF61/'État des Résultats'!AF14</f>
        <v>0</v>
      </c>
      <c r="AI61" s="818">
        <f>+AI60*$H$76</f>
        <v>0</v>
      </c>
      <c r="AJ61" s="412">
        <f>AI61/'État des Résultats'!AI14</f>
        <v>0</v>
      </c>
      <c r="AK61" s="200"/>
      <c r="AL61" s="818">
        <f>+AL60*$H$76</f>
        <v>0</v>
      </c>
      <c r="AM61" s="412">
        <f>AL61/'État des Résultats'!AL14</f>
        <v>0</v>
      </c>
      <c r="AP61" s="811">
        <f>SUM(+$AL61+$AI61+$AF61+$AC61+$Z61+$W61+$T61+$Q61+$N61+$K61+$H61+$E61)</f>
        <v>0</v>
      </c>
      <c r="AQ61" s="457">
        <f>AP61/'État des Résultats'!AP14</f>
        <v>0</v>
      </c>
      <c r="AR61" s="209"/>
      <c r="AS61" s="209"/>
      <c r="AT61" s="209"/>
      <c r="AU61" s="209"/>
      <c r="AV61" s="209"/>
      <c r="AW61" s="209"/>
      <c r="AX61" s="209"/>
      <c r="AY61" s="209"/>
      <c r="AZ61" s="209"/>
      <c r="BA61" s="209"/>
    </row>
    <row r="62" spans="2:53" ht="14" thickBot="1" x14ac:dyDescent="0.2">
      <c r="B62" s="190">
        <f>B56</f>
        <v>6245</v>
      </c>
      <c r="C62" s="391" t="str">
        <f>' Total des coûts de MO'!C31</f>
        <v>CSST et CNT</v>
      </c>
      <c r="D62" s="190"/>
      <c r="E62" s="818">
        <f>(E60)*$F$72</f>
        <v>0</v>
      </c>
      <c r="F62" s="413">
        <f>E62/'État des Résultats'!E14</f>
        <v>0</v>
      </c>
      <c r="H62" s="818">
        <f>(H60)*$F$72</f>
        <v>0</v>
      </c>
      <c r="I62" s="413">
        <f>H62/'État des Résultats'!H14</f>
        <v>0</v>
      </c>
      <c r="K62" s="818">
        <f>(K60)*$F$72</f>
        <v>0</v>
      </c>
      <c r="L62" s="413">
        <f>K62/'État des Résultats'!K14</f>
        <v>0</v>
      </c>
      <c r="N62" s="818">
        <f>(N60)*$F$72</f>
        <v>0</v>
      </c>
      <c r="O62" s="413">
        <f>N62/'État des Résultats'!N14</f>
        <v>0</v>
      </c>
      <c r="Q62" s="818">
        <f>(Q60)*$F$72</f>
        <v>0</v>
      </c>
      <c r="R62" s="413">
        <f>Q62/'État des Résultats'!Q14</f>
        <v>0</v>
      </c>
      <c r="T62" s="818">
        <f>(T60)*$F$72</f>
        <v>0</v>
      </c>
      <c r="U62" s="413">
        <f>T62/'État des Résultats'!T14</f>
        <v>0</v>
      </c>
      <c r="W62" s="818">
        <f>(W60)*$F$72</f>
        <v>0</v>
      </c>
      <c r="X62" s="413">
        <f>W62/'État des Résultats'!W14</f>
        <v>0</v>
      </c>
      <c r="Z62" s="818">
        <f>(Z60)*$F$72</f>
        <v>0</v>
      </c>
      <c r="AA62" s="413">
        <f>Z62/'État des Résultats'!Z14</f>
        <v>0</v>
      </c>
      <c r="AC62" s="818">
        <f>(AC60)*$F$72</f>
        <v>0</v>
      </c>
      <c r="AD62" s="413">
        <f>AC62/'État des Résultats'!AC14</f>
        <v>0</v>
      </c>
      <c r="AF62" s="818">
        <f>(AF60)*$F$72</f>
        <v>0</v>
      </c>
      <c r="AG62" s="413">
        <f>AF62/'État des Résultats'!AF14</f>
        <v>0</v>
      </c>
      <c r="AI62" s="818">
        <f>(AI60)*$F$72</f>
        <v>0</v>
      </c>
      <c r="AJ62" s="413">
        <f>AI62/'État des Résultats'!AI14</f>
        <v>0</v>
      </c>
      <c r="AK62" s="200"/>
      <c r="AL62" s="818">
        <f>(AL60)*$F$72</f>
        <v>0</v>
      </c>
      <c r="AM62" s="413">
        <f>AL62/'État des Résultats'!AL14</f>
        <v>0</v>
      </c>
      <c r="AP62" s="840">
        <f>SUM(+$AL62+$AI62+$AF62+$AC62+$Z62+$W62+$T62+$Q62+$N62+$K62+$H62+$E62)</f>
        <v>0</v>
      </c>
      <c r="AQ62" s="457">
        <f>AP62/'État des Résultats'!AP14</f>
        <v>0</v>
      </c>
      <c r="AR62" s="209"/>
      <c r="AS62" s="209"/>
      <c r="AT62" s="209"/>
      <c r="AU62" s="209"/>
      <c r="AV62" s="209"/>
      <c r="AW62" s="209"/>
      <c r="AX62" s="209"/>
      <c r="AY62" s="209"/>
      <c r="AZ62" s="209"/>
      <c r="BA62" s="209"/>
    </row>
    <row r="63" spans="2:53" ht="14" thickBot="1" x14ac:dyDescent="0.2">
      <c r="B63" s="394"/>
      <c r="C63" s="395" t="s">
        <v>225</v>
      </c>
      <c r="D63" s="396"/>
      <c r="E63" s="823">
        <f>SUM(E60:E62)</f>
        <v>0</v>
      </c>
      <c r="F63" s="399">
        <f>SUM(F60:F62)</f>
        <v>0</v>
      </c>
      <c r="G63" s="213"/>
      <c r="H63" s="823">
        <f>SUM(H60:H62)</f>
        <v>0</v>
      </c>
      <c r="I63" s="399">
        <f>SUM(I60:I62)</f>
        <v>0</v>
      </c>
      <c r="J63" s="213"/>
      <c r="K63" s="823">
        <f>SUM(K60:K62)</f>
        <v>0</v>
      </c>
      <c r="L63" s="399">
        <f>SUM(L60:L62)</f>
        <v>0</v>
      </c>
      <c r="M63" s="213"/>
      <c r="N63" s="823">
        <f>SUM(N60:N62)</f>
        <v>0</v>
      </c>
      <c r="O63" s="399">
        <f>SUM(O60:O62)</f>
        <v>0</v>
      </c>
      <c r="P63" s="213"/>
      <c r="Q63" s="823">
        <f>SUM(Q60:Q62)</f>
        <v>0</v>
      </c>
      <c r="R63" s="399">
        <f>SUM(R60:R62)</f>
        <v>0</v>
      </c>
      <c r="S63" s="213"/>
      <c r="T63" s="823">
        <f>SUM(T60:T62)</f>
        <v>0</v>
      </c>
      <c r="U63" s="399">
        <f>SUM(U60:U62)</f>
        <v>0</v>
      </c>
      <c r="V63" s="213"/>
      <c r="W63" s="823">
        <f>SUM(W60:W62)</f>
        <v>0</v>
      </c>
      <c r="X63" s="399">
        <f>SUM(X60:X62)</f>
        <v>0</v>
      </c>
      <c r="Y63" s="213"/>
      <c r="Z63" s="823">
        <f>SUM(Z60:Z62)</f>
        <v>0</v>
      </c>
      <c r="AA63" s="399">
        <f>SUM(AA60:AA62)</f>
        <v>0</v>
      </c>
      <c r="AB63" s="213"/>
      <c r="AC63" s="823">
        <f>SUM(AC60:AC62)</f>
        <v>0</v>
      </c>
      <c r="AD63" s="399">
        <f>SUM(AD60:AD62)</f>
        <v>0</v>
      </c>
      <c r="AE63" s="213"/>
      <c r="AF63" s="823">
        <f>SUM(AF60:AF62)</f>
        <v>0</v>
      </c>
      <c r="AG63" s="399">
        <f>SUM(AG60:AG62)</f>
        <v>0</v>
      </c>
      <c r="AH63" s="213"/>
      <c r="AI63" s="823">
        <f>SUM(AI60:AI62)</f>
        <v>0</v>
      </c>
      <c r="AJ63" s="399">
        <f>SUM(AJ60:AJ62)</f>
        <v>0</v>
      </c>
      <c r="AK63" s="398"/>
      <c r="AL63" s="823">
        <f>SUM(AL60:AL62)</f>
        <v>0</v>
      </c>
      <c r="AM63" s="399">
        <f>SUM(AM60:AM62)</f>
        <v>0</v>
      </c>
      <c r="AN63" s="213"/>
      <c r="AO63" s="213"/>
      <c r="AP63" s="839">
        <f>SUM(+$AL63+$AI63+$AF63+$AC63+$Z63+$W63+$T63+$Q63+$N63+$K63+$H63+$E63)</f>
        <v>0</v>
      </c>
      <c r="AQ63" s="414">
        <f>AP63/'État des Résultats'!AP14</f>
        <v>0</v>
      </c>
      <c r="AR63" s="209"/>
      <c r="AS63" s="209"/>
      <c r="AT63" s="209"/>
      <c r="AU63" s="209"/>
      <c r="AV63" s="209"/>
      <c r="AW63" s="209"/>
      <c r="AX63" s="209"/>
      <c r="AY63" s="209"/>
      <c r="AZ63" s="209"/>
      <c r="BA63" s="209"/>
    </row>
    <row r="64" spans="2:53" ht="14" thickBot="1" x14ac:dyDescent="0.2">
      <c r="B64" s="487"/>
      <c r="C64" s="487"/>
      <c r="D64" s="487"/>
      <c r="E64" s="829"/>
      <c r="F64" s="488"/>
      <c r="G64" s="487"/>
      <c r="H64" s="829"/>
      <c r="I64" s="488"/>
      <c r="J64" s="487"/>
      <c r="K64" s="829"/>
      <c r="L64" s="488"/>
      <c r="M64" s="487"/>
      <c r="N64" s="829"/>
      <c r="O64" s="488"/>
      <c r="P64" s="487"/>
      <c r="Q64" s="829"/>
      <c r="R64" s="488"/>
      <c r="S64" s="487"/>
      <c r="T64" s="829"/>
      <c r="U64" s="488"/>
      <c r="V64" s="487"/>
      <c r="W64" s="829"/>
      <c r="X64" s="488"/>
      <c r="Y64" s="487"/>
      <c r="Z64" s="829"/>
      <c r="AA64" s="488"/>
      <c r="AB64" s="487"/>
      <c r="AC64" s="829"/>
      <c r="AD64" s="488"/>
      <c r="AE64" s="487"/>
      <c r="AF64" s="829"/>
      <c r="AG64" s="488"/>
      <c r="AH64" s="487"/>
      <c r="AI64" s="829"/>
      <c r="AJ64" s="488"/>
      <c r="AK64" s="487"/>
      <c r="AL64" s="829"/>
      <c r="AM64" s="488"/>
      <c r="AN64" s="487"/>
      <c r="AO64" s="487"/>
      <c r="AP64" s="841"/>
      <c r="AQ64" s="490"/>
      <c r="AR64" s="209"/>
      <c r="AS64" s="209"/>
      <c r="AT64" s="209"/>
      <c r="AU64" s="209"/>
      <c r="AV64" s="209"/>
      <c r="AW64" s="209"/>
      <c r="AX64" s="209"/>
    </row>
    <row r="65" spans="2:47" ht="15" thickTop="1" thickBot="1" x14ac:dyDescent="0.2">
      <c r="B65" s="496"/>
      <c r="C65" s="497" t="str">
        <f>' Total des coûts de MO'!C23</f>
        <v>Total des salaires</v>
      </c>
      <c r="D65" s="190"/>
      <c r="E65" s="821"/>
      <c r="F65" s="498"/>
      <c r="H65" s="821"/>
      <c r="I65" s="498"/>
      <c r="K65" s="821"/>
      <c r="L65" s="498"/>
      <c r="N65" s="821"/>
      <c r="O65" s="498"/>
      <c r="Q65" s="821"/>
      <c r="R65" s="498"/>
      <c r="T65" s="821"/>
      <c r="U65" s="498"/>
      <c r="W65" s="821"/>
      <c r="X65" s="498"/>
      <c r="Z65" s="821"/>
      <c r="AA65" s="498"/>
      <c r="AC65" s="821"/>
      <c r="AD65" s="498"/>
      <c r="AF65" s="821"/>
      <c r="AG65" s="498"/>
      <c r="AI65" s="821"/>
      <c r="AJ65" s="498"/>
      <c r="AK65" s="200"/>
      <c r="AL65" s="821"/>
      <c r="AM65" s="498"/>
      <c r="AP65" s="836"/>
      <c r="AQ65" s="498"/>
    </row>
    <row r="66" spans="2:47" ht="14" thickTop="1" x14ac:dyDescent="0.15">
      <c r="B66" s="193">
        <f>' Total des coûts de MO'!B11</f>
        <v>6100</v>
      </c>
      <c r="C66" s="494" t="str">
        <f>' Total des coûts de MO'!C11</f>
        <v>Salaires</v>
      </c>
      <c r="D66" s="190"/>
      <c r="E66" s="830">
        <f>+E12+E18+E24+E30+E36+E42+E48+E54+E60</f>
        <v>24896.000000000004</v>
      </c>
      <c r="F66" s="458">
        <f>E66/'État des Résultats'!E14</f>
        <v>0.3411033978808915</v>
      </c>
      <c r="H66" s="830">
        <f>+H12+H18+H24+H30+H36+H42+H48+H54+H60</f>
        <v>24223.25</v>
      </c>
      <c r="I66" s="458">
        <f>H66/'État des Résultats'!H14</f>
        <v>0.34240632325397852</v>
      </c>
      <c r="K66" s="830">
        <f>+K12+K18+K24+K30+K36+K42+K48+K54+K60</f>
        <v>26649.75</v>
      </c>
      <c r="L66" s="458">
        <f>K66/'État des Résultats'!K14</f>
        <v>0.33805537056417084</v>
      </c>
      <c r="N66" s="830">
        <f>+N12+N18+N24+N30+N36+N42+N48+N54+N60</f>
        <v>27821.405250000003</v>
      </c>
      <c r="O66" s="458">
        <f>N66/'État des Résultats'!N14</f>
        <v>0.33625902687358933</v>
      </c>
      <c r="Q66" s="830">
        <f>+Q12+Q18+Q24+Q30+Q36+Q42+Q48+Q54+Q60</f>
        <v>29724.32</v>
      </c>
      <c r="R66" s="458">
        <f>Q66/'État des Résultats'!Q14</f>
        <v>0.33367718991540291</v>
      </c>
      <c r="T66" s="830">
        <f>+T12+T18+T24+T30+T36+T42+T48+T54+T60</f>
        <v>30464.011000000002</v>
      </c>
      <c r="U66" s="458">
        <f>T66/'État des Résultats'!T14</f>
        <v>0.33277015873610011</v>
      </c>
      <c r="W66" s="830">
        <f>+W12+W18+W24+W30+W36+W42+W48+W54+W60</f>
        <v>32499.526500000007</v>
      </c>
      <c r="X66" s="458">
        <f>W66/'État des Résultats'!W14</f>
        <v>0.33050896427100279</v>
      </c>
      <c r="Z66" s="830">
        <f>+Z12+Z18+Z24+Z30+Z36+Z42+Z48+Z54+Z60</f>
        <v>32888.898000000001</v>
      </c>
      <c r="AA66" s="458">
        <f>Z66/'État des Résultats'!Z14</f>
        <v>0.33011151498459396</v>
      </c>
      <c r="AC66" s="830">
        <f>+AC12+AC18+AC24+AC30+AC36+AC42+AC48+AC54+AC60</f>
        <v>30330.171000000002</v>
      </c>
      <c r="AD66" s="458">
        <f>AC66/'État des Résultats'!AC14</f>
        <v>0.33293063918260885</v>
      </c>
      <c r="AF66" s="830">
        <f>+AF12+AF18+AF24+AF30+AF36+AF42+AF48+AF54+AF60</f>
        <v>31307.589500000006</v>
      </c>
      <c r="AG66" s="458">
        <f>AF66/'État des Résultats'!AF14</f>
        <v>0.33179359372863593</v>
      </c>
      <c r="AI66" s="830">
        <f>+AI12+AI18+AI24+AI30+AI36+AI42+AI48+AI54+AI60</f>
        <v>29312.1155</v>
      </c>
      <c r="AJ66" s="458">
        <f>AI66/'État des Résultats'!AI14</f>
        <v>0.33420477536289317</v>
      </c>
      <c r="AK66" s="200"/>
      <c r="AL66" s="830">
        <f>+AL12+AL18+AL24+AL30+AL36+AL42+AL48+AL54+AL60</f>
        <v>32241.369000000002</v>
      </c>
      <c r="AM66" s="458">
        <f>AL66/'État des Résultats'!AL14</f>
        <v>0.33077831273905128</v>
      </c>
      <c r="AP66" s="811">
        <f>SUM(+$AL66+$AI66+$AF66+$AC66+$Z66+$W66+$T66+$Q66+$N66+$K66+$H66+$E66)</f>
        <v>352358.40575000003</v>
      </c>
      <c r="AQ66" s="458">
        <f>AP66/'État des Résultats'!AP14</f>
        <v>0.33413849546496527</v>
      </c>
    </row>
    <row r="67" spans="2:47" x14ac:dyDescent="0.15">
      <c r="B67" s="193">
        <f>B61</f>
        <v>6205</v>
      </c>
      <c r="C67" s="494" t="str">
        <f>' Total des coûts de MO'!C27</f>
        <v>Bénéfices gouvernementaux</v>
      </c>
      <c r="D67" s="190"/>
      <c r="E67" s="830">
        <f>+E13+E19+E25+E31+E37+E43+E49+E55+E61</f>
        <v>2833.4426666666668</v>
      </c>
      <c r="F67" s="495">
        <f>E67/'État des Résultats'!E14</f>
        <v>3.8821373766898065E-2</v>
      </c>
      <c r="H67" s="830">
        <f>+H13+H19+H25+H31+H37+H43+H49+H55+H61</f>
        <v>2756.5249166666667</v>
      </c>
      <c r="I67" s="495">
        <f>H67/'État des Résultats'!H14</f>
        <v>3.8964695557937634E-2</v>
      </c>
      <c r="K67" s="830">
        <f>+K13+K19+K25+K31+K37+K43+K49+K55+K61</f>
        <v>3033.9547499999999</v>
      </c>
      <c r="L67" s="495">
        <f>K67/'État des Résultats'!K14</f>
        <v>3.8486090762058792E-2</v>
      </c>
      <c r="N67" s="830">
        <f>+N13+N19+N25+N31+N37+N43+N49+N55+N61</f>
        <v>3167.9140002500003</v>
      </c>
      <c r="O67" s="495">
        <f>N67/'État des Résultats'!N14</f>
        <v>3.8288492956094822E-2</v>
      </c>
      <c r="Q67" s="830">
        <f>+Q13+Q19+Q25+Q31+Q37+Q43+Q49+Q55+Q61</f>
        <v>3385.4805866666666</v>
      </c>
      <c r="R67" s="495">
        <f>Q67/'État des Résultats'!Q14</f>
        <v>3.8004490890694319E-2</v>
      </c>
      <c r="T67" s="830">
        <f>+T13+T19+T25+T31+T37+T43+T49+T55+T61</f>
        <v>3470.0519243333338</v>
      </c>
      <c r="U67" s="495">
        <f>T67/'État des Résultats'!T14</f>
        <v>3.7904717460971016E-2</v>
      </c>
      <c r="W67" s="830">
        <f>+W13+W19+W25+W31+W37+W43+W49+W55+W61</f>
        <v>3702.7791965000006</v>
      </c>
      <c r="X67" s="495">
        <f>W67/'État des Résultats'!W14</f>
        <v>3.7655986069810306E-2</v>
      </c>
      <c r="Z67" s="830">
        <f>+Z13+Z19+Z25+Z31+Z37+Z43+Z49+Z55+Z61</f>
        <v>3747.2973380000003</v>
      </c>
      <c r="AA67" s="495">
        <f>Z67/'État des Résultats'!Z14</f>
        <v>3.7612266648305338E-2</v>
      </c>
      <c r="AC67" s="830">
        <f>+AC13+AC19+AC25+AC31+AC37+AC43+AC49+AC55+AC61</f>
        <v>3454.7495510000003</v>
      </c>
      <c r="AD67" s="495">
        <f>AC67/'État des Résultats'!AC14</f>
        <v>3.7922370310086974E-2</v>
      </c>
      <c r="AF67" s="830">
        <f>+AF13+AF19+AF25+AF31+AF37+AF43+AF49+AF55+AF61</f>
        <v>3566.5010661666674</v>
      </c>
      <c r="AG67" s="495">
        <f>AF67/'État des Résultats'!AF14</f>
        <v>3.7797295310149956E-2</v>
      </c>
      <c r="AI67" s="830">
        <f>+AI13+AI19+AI25+AI31+AI37+AI43+AI49+AI55+AI61</f>
        <v>3338.3518721666669</v>
      </c>
      <c r="AJ67" s="495">
        <f>AI67/'État des Résultats'!AI14</f>
        <v>3.8062525289918256E-2</v>
      </c>
      <c r="AK67" s="200"/>
      <c r="AL67" s="830">
        <f>+AL13+AL19+AL25+AL31+AL37+AL43+AL49+AL55+AL61</f>
        <v>3673.2631890000002</v>
      </c>
      <c r="AM67" s="495">
        <f>AL67/'État des Résultats'!AL14</f>
        <v>3.7685614401295642E-2</v>
      </c>
      <c r="AP67" s="811">
        <f>SUM(+$AL67+$AI67+$AF67+$AC67+$Z67+$W67+$T67+$Q67+$N67+$K67+$H67+$E67)</f>
        <v>40130.311057416671</v>
      </c>
      <c r="AQ67" s="458">
        <f>AP67/'État des Résultats'!AP14</f>
        <v>3.805523450114618E-2</v>
      </c>
    </row>
    <row r="68" spans="2:47" ht="14" thickBot="1" x14ac:dyDescent="0.2">
      <c r="B68" s="193">
        <f>B62</f>
        <v>6245</v>
      </c>
      <c r="C68" s="494" t="str">
        <f>' Total des coûts de MO'!C31</f>
        <v>CSST et CNT</v>
      </c>
      <c r="D68" s="190"/>
      <c r="E68" s="830">
        <f>+E14+E20+E26+E32+E38+E44+E50+E56+E62</f>
        <v>248.96000000000004</v>
      </c>
      <c r="F68" s="495">
        <f>E68/'État des Résultats'!E14</f>
        <v>3.4110339788089149E-3</v>
      </c>
      <c r="H68" s="830">
        <f>+H14+H20+H26+H32+H38+H44+H50+H56+H62</f>
        <v>242.23250000000002</v>
      </c>
      <c r="I68" s="495">
        <f>H68/'État des Résultats'!H14</f>
        <v>3.4240632325397854E-3</v>
      </c>
      <c r="K68" s="830">
        <f>+K14+K20+K26+K32+K38+K44+K50+K56+K62</f>
        <v>266.4975</v>
      </c>
      <c r="L68" s="495">
        <f>K68/'État des Résultats'!K14</f>
        <v>3.3805537056417088E-3</v>
      </c>
      <c r="N68" s="830">
        <f>+N14+N20+N26+N32+N38+N44+N50+N56+N62</f>
        <v>278.21405250000004</v>
      </c>
      <c r="O68" s="495">
        <f>N68/'État des Résultats'!N14</f>
        <v>3.3625902687358933E-3</v>
      </c>
      <c r="Q68" s="830">
        <f>+Q14+Q20+Q26+Q32+Q38+Q44+Q50+Q56+Q62</f>
        <v>297.2432</v>
      </c>
      <c r="R68" s="495">
        <f>Q68/'État des Résultats'!Q14</f>
        <v>3.3367718991540291E-3</v>
      </c>
      <c r="T68" s="830">
        <f>+T14+T20+T26+T32+T38+T44+T50+T56+T62</f>
        <v>304.64011000000005</v>
      </c>
      <c r="U68" s="495">
        <f>T68/'État des Résultats'!T14</f>
        <v>3.3277015873610016E-3</v>
      </c>
      <c r="W68" s="830">
        <f>+W14+W20+W26+W32+W38+W44+W50+W56+W62</f>
        <v>324.99526500000007</v>
      </c>
      <c r="X68" s="495">
        <f>W68/'État des Résultats'!W14</f>
        <v>3.3050896427100282E-3</v>
      </c>
      <c r="Z68" s="830">
        <f>+Z14+Z20+Z26+Z32+Z38+Z44+Z50+Z56+Z62</f>
        <v>328.88898000000006</v>
      </c>
      <c r="AA68" s="495">
        <f>Z68/'État des Résultats'!Z14</f>
        <v>3.3011151498459398E-3</v>
      </c>
      <c r="AC68" s="830">
        <f>+AC14+AC20+AC26+AC32+AC38+AC44+AC50+AC56+AC62</f>
        <v>303.30171000000007</v>
      </c>
      <c r="AD68" s="495">
        <f>AC68/'État des Résultats'!AC14</f>
        <v>3.3293063918260891E-3</v>
      </c>
      <c r="AF68" s="830">
        <f>+AF14+AF20+AF26+AF32+AF38+AF44+AF50+AF56+AF62</f>
        <v>313.07589500000006</v>
      </c>
      <c r="AG68" s="495">
        <f>AF68/'État des Résultats'!AF14</f>
        <v>3.3179359372863594E-3</v>
      </c>
      <c r="AI68" s="830">
        <f>+AI14+AI20+AI26+AI32+AI38+AI44+AI50+AI56+AI62</f>
        <v>293.12115500000004</v>
      </c>
      <c r="AJ68" s="495">
        <f>AI68/'État des Résultats'!AI14</f>
        <v>3.3420477536289326E-3</v>
      </c>
      <c r="AK68" s="200"/>
      <c r="AL68" s="830">
        <f>+AL14+AL20+AL26+AL32+AL38+AL44+AL50+AL56+AL62</f>
        <v>322.41369000000003</v>
      </c>
      <c r="AM68" s="495">
        <f>AL68/'État des Résultats'!AL14</f>
        <v>3.307783127390513E-3</v>
      </c>
      <c r="AP68" s="811">
        <f>SUM(+$AL68+$AI68+$AF68+$AC68+$Z68+$W68+$T68+$Q68+$N68+$K68+$H68+$E68)</f>
        <v>3523.5840575000002</v>
      </c>
      <c r="AQ68" s="458">
        <f>AP68/'État des Résultats'!AP14</f>
        <v>3.3413849546496525E-3</v>
      </c>
    </row>
    <row r="69" spans="2:47" ht="15" thickTop="1" thickBot="1" x14ac:dyDescent="0.2">
      <c r="B69" s="491"/>
      <c r="C69" s="492" t="s">
        <v>231</v>
      </c>
      <c r="D69" s="231"/>
      <c r="E69" s="831">
        <f>SUM(E66:E68)</f>
        <v>27978.402666666669</v>
      </c>
      <c r="F69" s="493">
        <f>+SUM(F66:F68)</f>
        <v>0.38333580562659852</v>
      </c>
      <c r="G69" s="251"/>
      <c r="H69" s="831">
        <f>SUM(H66:H68)</f>
        <v>27222.007416666664</v>
      </c>
      <c r="I69" s="493">
        <f>+SUM(I66:I68)</f>
        <v>0.38479508204445595</v>
      </c>
      <c r="J69" s="251"/>
      <c r="K69" s="831">
        <f>SUM(K66:K68)</f>
        <v>29950.202250000002</v>
      </c>
      <c r="L69" s="493">
        <f>+SUM(L66:L68)</f>
        <v>0.37992201503187134</v>
      </c>
      <c r="M69" s="251"/>
      <c r="N69" s="831">
        <f>SUM(N66:N68)</f>
        <v>31267.533302750002</v>
      </c>
      <c r="O69" s="493">
        <f>+SUM(O66:O68)</f>
        <v>0.37791011009842002</v>
      </c>
      <c r="P69" s="251"/>
      <c r="Q69" s="831">
        <f>SUM(Q66:Q68)</f>
        <v>33407.043786666662</v>
      </c>
      <c r="R69" s="493">
        <f>+SUM(R66:R68)</f>
        <v>0.37501845270525125</v>
      </c>
      <c r="S69" s="251"/>
      <c r="T69" s="831">
        <f>SUM(T66:T68)</f>
        <v>34238.703034333339</v>
      </c>
      <c r="U69" s="493">
        <f>+SUM(U66:U68)</f>
        <v>0.37400257778443213</v>
      </c>
      <c r="V69" s="251"/>
      <c r="W69" s="831">
        <f>SUM(W66:W68)</f>
        <v>36527.300961500005</v>
      </c>
      <c r="X69" s="493">
        <f>+SUM(X66:X68)</f>
        <v>0.37147003998352313</v>
      </c>
      <c r="Y69" s="251"/>
      <c r="Z69" s="831">
        <f>SUM(Z66:Z68)</f>
        <v>36965.084318000008</v>
      </c>
      <c r="AA69" s="493">
        <f>+SUM(AA66:AA68)</f>
        <v>0.37102489678274525</v>
      </c>
      <c r="AB69" s="251"/>
      <c r="AC69" s="831">
        <f>SUM(AC66:AC68)</f>
        <v>34088.222261000003</v>
      </c>
      <c r="AD69" s="493">
        <f>+SUM(AD66:AD68)</f>
        <v>0.37418231588452194</v>
      </c>
      <c r="AE69" s="251"/>
      <c r="AF69" s="831">
        <f>SUM(AF66:AF68)</f>
        <v>35187.166461166678</v>
      </c>
      <c r="AG69" s="493">
        <f>+SUM(AG66:AG68)</f>
        <v>0.37290882497607225</v>
      </c>
      <c r="AH69" s="251"/>
      <c r="AI69" s="831">
        <f>SUM(AI66:AI68)</f>
        <v>32943.588527166663</v>
      </c>
      <c r="AJ69" s="493">
        <f>+SUM(AJ66:AJ68)</f>
        <v>0.37560934840644039</v>
      </c>
      <c r="AK69" s="231"/>
      <c r="AL69" s="831">
        <f>SUM(AL66:AL68)</f>
        <v>36237.045879000005</v>
      </c>
      <c r="AM69" s="493">
        <f>+SUM(AM66:AM68)</f>
        <v>0.37177171026773742</v>
      </c>
      <c r="AN69" s="251"/>
      <c r="AO69" s="251"/>
      <c r="AP69" s="842">
        <f>+SUM(AP66:AP68)</f>
        <v>396012.3008649167</v>
      </c>
      <c r="AQ69" s="493">
        <f>AP69/'État des Résultats'!AP14</f>
        <v>0.37553511492076114</v>
      </c>
      <c r="AR69" s="251"/>
      <c r="AS69" s="251"/>
      <c r="AT69" s="251"/>
      <c r="AU69" s="251"/>
    </row>
    <row r="70" spans="2:47" ht="15" thickTop="1" thickBot="1" x14ac:dyDescent="0.2"/>
    <row r="71" spans="2:47" ht="15" thickTop="1" thickBot="1" x14ac:dyDescent="0.2">
      <c r="C71" s="613"/>
      <c r="D71" s="614"/>
      <c r="E71" s="614"/>
      <c r="F71" s="614"/>
      <c r="G71" s="614"/>
      <c r="H71" s="614"/>
      <c r="I71" s="615"/>
      <c r="K71" s="314" t="s">
        <v>2</v>
      </c>
    </row>
    <row r="72" spans="2:47" ht="15" thickTop="1" thickBot="1" x14ac:dyDescent="0.2">
      <c r="C72" s="1418" t="s">
        <v>211</v>
      </c>
      <c r="D72" s="1419"/>
      <c r="E72" s="1419"/>
      <c r="F72" s="420">
        <v>0.01</v>
      </c>
      <c r="G72" s="616"/>
      <c r="H72" s="616"/>
      <c r="I72" s="494"/>
      <c r="Z72" s="161" t="s">
        <v>2</v>
      </c>
    </row>
    <row r="73" spans="2:47" ht="14" thickTop="1" x14ac:dyDescent="0.15">
      <c r="C73" s="193"/>
      <c r="D73" s="616"/>
      <c r="E73" s="616"/>
      <c r="F73" s="616"/>
      <c r="G73" s="616"/>
      <c r="H73" s="616"/>
      <c r="I73" s="494"/>
    </row>
    <row r="74" spans="2:47" ht="14" thickBot="1" x14ac:dyDescent="0.2">
      <c r="C74" s="193"/>
      <c r="D74" s="616"/>
      <c r="E74" s="616"/>
      <c r="F74" s="616"/>
      <c r="G74" s="616"/>
      <c r="H74" s="616"/>
      <c r="I74" s="494"/>
    </row>
    <row r="75" spans="2:47" ht="14" customHeight="1" thickTop="1" thickBot="1" x14ac:dyDescent="0.2">
      <c r="C75" s="1418" t="s">
        <v>243</v>
      </c>
      <c r="D75" s="1419"/>
      <c r="E75" s="1419"/>
      <c r="F75" s="1419"/>
      <c r="G75" s="617"/>
      <c r="H75" s="420">
        <v>0.12</v>
      </c>
      <c r="I75" s="494"/>
    </row>
    <row r="76" spans="2:47" ht="15" thickTop="1" thickBot="1" x14ac:dyDescent="0.2">
      <c r="C76" s="1418" t="s">
        <v>244</v>
      </c>
      <c r="D76" s="1419"/>
      <c r="E76" s="1419"/>
      <c r="F76" s="1419"/>
      <c r="G76" s="616"/>
      <c r="H76" s="420">
        <v>0.11</v>
      </c>
      <c r="I76" s="494"/>
    </row>
    <row r="77" spans="2:47" ht="14" thickTop="1" x14ac:dyDescent="0.15">
      <c r="C77" s="193"/>
      <c r="D77" s="616"/>
      <c r="E77" s="616"/>
      <c r="F77" s="616"/>
      <c r="G77" s="616"/>
      <c r="H77" s="616"/>
      <c r="I77" s="494"/>
    </row>
    <row r="78" spans="2:47" ht="14" thickBot="1" x14ac:dyDescent="0.2">
      <c r="C78" s="618"/>
      <c r="D78" s="619"/>
      <c r="E78" s="619"/>
      <c r="F78" s="619"/>
      <c r="G78" s="619"/>
      <c r="H78" s="619"/>
      <c r="I78" s="620"/>
    </row>
    <row r="79" spans="2:47" ht="14" thickTop="1" x14ac:dyDescent="0.15"/>
  </sheetData>
  <sheetProtection algorithmName="SHA-512" hashValue="chxIwRwQWELc9XXWdyhiQSOOEQztbk70cpYC4dawADgD0fvU56/I8x4DASSnuU+LKHq1YnqK2llSVBA2Wfqy9A==" saltValue="Lk+HScckIXRE4yYw9+SOVw==" spinCount="100000" sheet="1" objects="1" scenarios="1"/>
  <mergeCells count="12">
    <mergeCell ref="C76:F76"/>
    <mergeCell ref="B2:C2"/>
    <mergeCell ref="B3:C3"/>
    <mergeCell ref="B4:C4"/>
    <mergeCell ref="B6:C6"/>
    <mergeCell ref="B7:C7"/>
    <mergeCell ref="B8:C8"/>
    <mergeCell ref="AS2:AS8"/>
    <mergeCell ref="BC2:BC8"/>
    <mergeCell ref="B9:C9"/>
    <mergeCell ref="C72:E72"/>
    <mergeCell ref="C75:F75"/>
  </mergeCells>
  <pageMargins left="0.75000000000000011" right="0.75000000000000011" top="1" bottom="1" header="0.49" footer="0.49"/>
  <pageSetup paperSize="5" scale="44" fitToHeight="2" orientation="landscape"/>
  <headerFooter>
    <oddFooter>&amp;C&amp;K000000Budget et indicateurs de performance (430-763-Me)</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794FA-9626-6241-8E28-B2B615AB0796}">
  <sheetPr>
    <tabColor theme="1"/>
    <pageSetUpPr fitToPage="1"/>
  </sheetPr>
  <dimension ref="B1:BQ45"/>
  <sheetViews>
    <sheetView zoomScale="125" zoomScaleNormal="125" zoomScalePageLayoutView="125" workbookViewId="0">
      <selection activeCell="AA13" sqref="AA13"/>
    </sheetView>
  </sheetViews>
  <sheetFormatPr baseColWidth="10" defaultRowHeight="13" x14ac:dyDescent="0.15"/>
  <cols>
    <col min="1" max="1" width="2.1640625" style="161" customWidth="1"/>
    <col min="2" max="2" width="5.1640625" style="161" customWidth="1"/>
    <col min="3" max="3" width="46.33203125" style="161" customWidth="1"/>
    <col min="4" max="4" width="0.83203125" style="161" customWidth="1"/>
    <col min="5" max="5" width="14.33203125" style="161" customWidth="1"/>
    <col min="6" max="6" width="7.83203125" style="161" customWidth="1"/>
    <col min="7" max="7" width="0.83203125" style="161" customWidth="1"/>
    <col min="8" max="8" width="14.33203125" style="161" customWidth="1"/>
    <col min="9" max="9" width="7.83203125" style="161" customWidth="1"/>
    <col min="10" max="10" width="0.83203125" style="161" customWidth="1"/>
    <col min="11" max="11" width="14.33203125" style="161" customWidth="1"/>
    <col min="12" max="12" width="7.83203125" style="161" customWidth="1"/>
    <col min="13" max="13" width="0.83203125" style="161" customWidth="1"/>
    <col min="14" max="14" width="14.33203125" style="161" customWidth="1"/>
    <col min="15" max="15" width="7.83203125" style="161" customWidth="1"/>
    <col min="16" max="16" width="0.83203125" style="161" customWidth="1"/>
    <col min="17" max="17" width="14.33203125" style="161" customWidth="1"/>
    <col min="18" max="18" width="7.83203125" style="161" customWidth="1"/>
    <col min="19" max="19" width="0.83203125" style="161" customWidth="1"/>
    <col min="20" max="20" width="14.33203125" style="161" customWidth="1"/>
    <col min="21" max="21" width="7.83203125" style="161" customWidth="1"/>
    <col min="22" max="22" width="0.83203125" style="161" customWidth="1"/>
    <col min="23" max="23" width="14.33203125" style="161" customWidth="1"/>
    <col min="24" max="24" width="7.83203125" style="161" customWidth="1"/>
    <col min="25" max="25" width="0.83203125" style="161" customWidth="1"/>
    <col min="26" max="26" width="14.33203125" style="161" customWidth="1"/>
    <col min="27" max="27" width="7.83203125" style="161" customWidth="1"/>
    <col min="28" max="28" width="0.83203125" style="161" customWidth="1"/>
    <col min="29" max="29" width="14.33203125" style="161" customWidth="1"/>
    <col min="30" max="30" width="7.83203125" style="161" customWidth="1"/>
    <col min="31" max="31" width="0.83203125" style="161" customWidth="1"/>
    <col min="32" max="32" width="14.33203125" style="161" customWidth="1"/>
    <col min="33" max="33" width="7.83203125" style="161" customWidth="1"/>
    <col min="34" max="34" width="0.83203125" style="161" customWidth="1"/>
    <col min="35" max="35" width="14.33203125" style="161" customWidth="1"/>
    <col min="36" max="36" width="7.83203125" style="161" customWidth="1"/>
    <col min="37" max="37" width="0.83203125" style="161" customWidth="1"/>
    <col min="38" max="38" width="14.33203125" style="161" customWidth="1"/>
    <col min="39" max="39" width="7.83203125" style="161" customWidth="1"/>
    <col min="40" max="41" width="0.83203125" style="161" customWidth="1"/>
    <col min="42" max="42" width="14.33203125" style="161" customWidth="1"/>
    <col min="43" max="43" width="8.1640625" style="161" customWidth="1"/>
    <col min="44" max="44" width="2.1640625" style="161" customWidth="1"/>
    <col min="45" max="45" width="10.83203125" style="161"/>
    <col min="46" max="46" width="14.6640625" style="161" bestFit="1" customWidth="1"/>
    <col min="47" max="47" width="2.5" style="161" bestFit="1" customWidth="1"/>
    <col min="48" max="48" width="26.83203125" style="161" bestFit="1" customWidth="1"/>
    <col min="49" max="49" width="2.5" style="161" bestFit="1" customWidth="1"/>
    <col min="50" max="50" width="2" style="161" bestFit="1" customWidth="1"/>
    <col min="51" max="51" width="10.83203125" style="161"/>
    <col min="52" max="52" width="2.5" style="161" bestFit="1" customWidth="1"/>
    <col min="53" max="53" width="10.83203125" style="161"/>
    <col min="54" max="54" width="2" style="161" bestFit="1" customWidth="1"/>
    <col min="55" max="16384" width="10.83203125" style="161"/>
  </cols>
  <sheetData>
    <row r="1" spans="2:56" ht="14" thickBot="1" x14ac:dyDescent="0.2"/>
    <row r="2" spans="2:56" ht="20" customHeight="1" thickTop="1" x14ac:dyDescent="0.2">
      <c r="B2" s="1430" t="str">
        <f>'État des Résultats'!C2</f>
        <v>Les Multiples Plaisirs gourmands</v>
      </c>
      <c r="C2" s="1431"/>
      <c r="AS2" s="1388" t="s">
        <v>42</v>
      </c>
      <c r="AT2" s="366"/>
      <c r="AU2" s="366"/>
      <c r="AV2" s="366"/>
      <c r="AW2" s="366"/>
      <c r="AX2" s="366"/>
      <c r="AY2" s="366"/>
      <c r="AZ2" s="366"/>
      <c r="BA2" s="366"/>
      <c r="BB2" s="366"/>
      <c r="BC2" s="1391" t="s">
        <v>43</v>
      </c>
    </row>
    <row r="3" spans="2:56" ht="20" customHeight="1" x14ac:dyDescent="0.2">
      <c r="B3" s="1432" t="str">
        <f>'État des Résultats'!C3</f>
        <v xml:space="preserve">États des résultats </v>
      </c>
      <c r="C3" s="1433"/>
      <c r="AS3" s="1389"/>
      <c r="AT3" s="367"/>
      <c r="AU3" s="367"/>
      <c r="AV3" s="367"/>
      <c r="AW3" s="367"/>
      <c r="AX3" s="367"/>
      <c r="AY3" s="367"/>
      <c r="AZ3" s="367"/>
      <c r="BA3" s="367"/>
      <c r="BB3" s="367"/>
      <c r="BC3" s="1392"/>
    </row>
    <row r="4" spans="2:56" ht="20" customHeight="1" thickBot="1" x14ac:dyDescent="0.3">
      <c r="B4" s="1434" t="str">
        <f>'État des Résultats'!C4</f>
        <v>Pour la période du 1er janvier 2021 au 31 décembre 2021</v>
      </c>
      <c r="C4" s="1435"/>
      <c r="AS4" s="1389"/>
      <c r="AT4" s="368" t="str">
        <f>'Formule pour le calcul D'!BA103</f>
        <v>Coût annuel</v>
      </c>
      <c r="AU4" s="368" t="s">
        <v>44</v>
      </c>
      <c r="AV4" s="368" t="str">
        <f>'Formule pour le calcul D'!BC103</f>
        <v>Achalandage annuelle</v>
      </c>
      <c r="AW4" s="368" t="s">
        <v>45</v>
      </c>
      <c r="AX4" s="368" t="s">
        <v>46</v>
      </c>
      <c r="AY4" s="368" t="str">
        <f>'Formule pour le calcul D'!BF103</f>
        <v>Um/A</v>
      </c>
      <c r="AZ4" s="368" t="s">
        <v>45</v>
      </c>
      <c r="BA4" s="368" t="str">
        <f>'Formule pour le calcul D'!BH103</f>
        <v>CmO</v>
      </c>
      <c r="BB4" s="368" t="s">
        <v>49</v>
      </c>
      <c r="BC4" s="1392"/>
    </row>
    <row r="5" spans="2:56" ht="21" thickTop="1" thickBot="1" x14ac:dyDescent="0.3">
      <c r="AS5" s="1389"/>
      <c r="AT5" s="369" t="s">
        <v>2</v>
      </c>
      <c r="AU5" s="370"/>
      <c r="AV5" s="369"/>
      <c r="AW5" s="370"/>
      <c r="AX5" s="370"/>
      <c r="AY5" s="370"/>
      <c r="AZ5" s="370"/>
      <c r="BA5" s="370"/>
      <c r="BB5" s="370"/>
      <c r="BC5" s="1392"/>
    </row>
    <row r="6" spans="2:56" ht="27" thickTop="1" x14ac:dyDescent="0.3">
      <c r="B6" s="1406" t="str">
        <f>'État des Résultats'!C6</f>
        <v>Nb de places</v>
      </c>
      <c r="C6" s="1436"/>
      <c r="E6" s="637" t="str">
        <f>'Coût marchandises vendues'!D6</f>
        <v>Coût / place / jour</v>
      </c>
      <c r="F6" s="638">
        <f>+E26/$B$7/'Calendrier 2021'!D8</f>
        <v>6.4083154121863801</v>
      </c>
      <c r="G6" s="170"/>
      <c r="H6" s="637" t="str">
        <f>+E6</f>
        <v>Coût / place / jour</v>
      </c>
      <c r="I6" s="638">
        <f>+H26/$B$7/'Calendrier 2021'!E8</f>
        <v>7.0415277777777776</v>
      </c>
      <c r="J6" s="170"/>
      <c r="K6" s="637" t="str">
        <f>+H6</f>
        <v>Coût / place / jour</v>
      </c>
      <c r="L6" s="638">
        <f>+K26/$B$7/'Calendrier 2021'!F8</f>
        <v>6.5340322580645154</v>
      </c>
      <c r="M6" s="170"/>
      <c r="N6" s="637" t="str">
        <f>+K6</f>
        <v>Coût / place / jour</v>
      </c>
      <c r="O6" s="638">
        <f>+N26/$B$7/'Calendrier 2021'!G8</f>
        <v>6.838622611111111</v>
      </c>
      <c r="P6" s="422"/>
      <c r="Q6" s="637" t="str">
        <f>+N6</f>
        <v>Coût / place / jour</v>
      </c>
      <c r="R6" s="638">
        <f>+Q26/$B$7/'Calendrier 2021'!H8</f>
        <v>6.7544315412186373</v>
      </c>
      <c r="S6" s="422"/>
      <c r="T6" s="637" t="str">
        <f>+Q6</f>
        <v>Coût / place / jour</v>
      </c>
      <c r="U6" s="638">
        <f>+T26/$B$7/'Calendrier 2021'!I8</f>
        <v>7.0343711851851847</v>
      </c>
      <c r="V6" s="170"/>
      <c r="W6" s="637" t="str">
        <f>+T6</f>
        <v>Coût / place / jour</v>
      </c>
      <c r="X6" s="638">
        <f>+W26/$B$7/'Calendrier 2021'!J8</f>
        <v>6.9533710752688167</v>
      </c>
      <c r="Y6" s="170"/>
      <c r="Z6" s="637" t="str">
        <f>+W6</f>
        <v>Coût / place / jour</v>
      </c>
      <c r="AA6" s="638">
        <f>+Z26/$B$7/'Calendrier 2021'!K8</f>
        <v>6.981283010752688</v>
      </c>
      <c r="AB6" s="170"/>
      <c r="AC6" s="637" t="str">
        <f>+Z6</f>
        <v>Coût / place / jour</v>
      </c>
      <c r="AD6" s="638">
        <f>+AC26/$B$7/'Calendrier 2021'!L8</f>
        <v>7.0244571111111105</v>
      </c>
      <c r="AE6" s="170"/>
      <c r="AF6" s="637" t="str">
        <f>+AC6</f>
        <v>Coût / place / jour</v>
      </c>
      <c r="AG6" s="638">
        <f>+AF26/$B$7/'Calendrier 2021'!M8</f>
        <v>6.8679275627240148</v>
      </c>
      <c r="AH6" s="170"/>
      <c r="AI6" s="637" t="str">
        <f>+AF6</f>
        <v>Coût / place / jour</v>
      </c>
      <c r="AJ6" s="638">
        <f>+AI26/$B$7/'Calendrier 2021'!N8</f>
        <v>6.9490455925925927</v>
      </c>
      <c r="AK6" s="170"/>
      <c r="AL6" s="637" t="str">
        <f>+AI6</f>
        <v>Coût / place / jour</v>
      </c>
      <c r="AM6" s="638">
        <f>+AL26/$B$7/'Calendrier 2021'!O8</f>
        <v>6.9348651612903236</v>
      </c>
      <c r="AN6" s="170"/>
      <c r="AO6" s="170"/>
      <c r="AP6" s="672" t="str">
        <f>+AL6</f>
        <v>Coût / place / jour</v>
      </c>
      <c r="AQ6" s="673">
        <f>+AP26/$B$7/'% Occupation'!P9</f>
        <v>6.8575854231354638</v>
      </c>
      <c r="AS6" s="1389"/>
      <c r="AT6" s="629" t="str">
        <f>'Formule pour le calcul D'!BA105</f>
        <v xml:space="preserve">C </v>
      </c>
      <c r="AU6" s="372"/>
      <c r="AV6" s="371" t="str">
        <f>'Formule pour le calcul D'!BC105</f>
        <v>A</v>
      </c>
      <c r="AW6" s="372"/>
      <c r="AX6" s="372"/>
      <c r="AY6" s="371" t="str">
        <f>AY4</f>
        <v>Um/A</v>
      </c>
      <c r="AZ6" s="372"/>
      <c r="BA6" s="371" t="str">
        <f>BA4</f>
        <v>CmO</v>
      </c>
      <c r="BB6" s="372"/>
      <c r="BC6" s="1392"/>
    </row>
    <row r="7" spans="2:56" ht="21" x14ac:dyDescent="0.25">
      <c r="B7" s="1410">
        <f>'État des Résultats'!C7</f>
        <v>30</v>
      </c>
      <c r="C7" s="1437"/>
      <c r="E7" s="424">
        <f>+E26/$AP26</f>
        <v>7.9367277363615485E-2</v>
      </c>
      <c r="F7" s="641"/>
      <c r="H7" s="424">
        <f>+H26/$AP26</f>
        <v>7.8769998560913213E-2</v>
      </c>
      <c r="I7" s="641"/>
      <c r="K7" s="424">
        <f>+K26/$AP26</f>
        <v>8.0924286208266707E-2</v>
      </c>
      <c r="L7" s="425"/>
      <c r="N7" s="424">
        <f>+N26/$AP26</f>
        <v>8.1964501510979212E-2</v>
      </c>
      <c r="O7" s="425"/>
      <c r="P7" s="642"/>
      <c r="Q7" s="424">
        <f>+Q26/$AP26</f>
        <v>8.3653941337845775E-2</v>
      </c>
      <c r="R7" s="425"/>
      <c r="S7" s="642"/>
      <c r="T7" s="424">
        <f>+T26/$AP26</f>
        <v>8.4310651489982014E-2</v>
      </c>
      <c r="U7" s="425"/>
      <c r="W7" s="424">
        <f>+W26/$AP26</f>
        <v>8.6117816500345321E-2</v>
      </c>
      <c r="X7" s="425"/>
      <c r="Z7" s="424">
        <f>+Z26/$AP26</f>
        <v>8.6463507088716016E-2</v>
      </c>
      <c r="AA7" s="425"/>
      <c r="AC7" s="424">
        <f>+AC26/$AP26</f>
        <v>8.4191826079422855E-2</v>
      </c>
      <c r="AD7" s="425"/>
      <c r="AF7" s="424">
        <f>+AF26/$AP26</f>
        <v>8.5059594717726908E-2</v>
      </c>
      <c r="AG7" s="425"/>
      <c r="AI7" s="424">
        <f>+AI26/$AP26</f>
        <v>8.3287979226766659E-2</v>
      </c>
      <c r="AJ7" s="425"/>
      <c r="AL7" s="424">
        <f>+AL26/$AP26</f>
        <v>8.588861991541985E-2</v>
      </c>
      <c r="AM7" s="425"/>
      <c r="AP7" s="674">
        <f>+AP26/$AP26</f>
        <v>1</v>
      </c>
      <c r="AQ7" s="675" t="s">
        <v>136</v>
      </c>
      <c r="AS7" s="1389"/>
      <c r="AT7" s="630">
        <f>AP26</f>
        <v>75090.56038333333</v>
      </c>
      <c r="AU7" s="368" t="s">
        <v>44</v>
      </c>
      <c r="AV7" s="631">
        <f>'Formule pour le calcul D'!G114</f>
        <v>52000</v>
      </c>
      <c r="AW7" s="368" t="s">
        <v>45</v>
      </c>
      <c r="AX7" s="368" t="s">
        <v>46</v>
      </c>
      <c r="AY7" s="632">
        <f>'Formule pour le calcul D'!J106</f>
        <v>3.1499999999999995</v>
      </c>
      <c r="AZ7" s="368" t="s">
        <v>45</v>
      </c>
      <c r="BA7" s="633">
        <f>AT7/AV7/AY7</f>
        <v>0.4584283295685796</v>
      </c>
      <c r="BB7" s="368" t="s">
        <v>49</v>
      </c>
      <c r="BC7" s="1392"/>
    </row>
    <row r="8" spans="2:56" ht="17" thickBot="1" x14ac:dyDescent="0.25">
      <c r="B8" s="1410" t="s">
        <v>259</v>
      </c>
      <c r="C8" s="1437"/>
      <c r="E8" s="646" t="str">
        <f>'État des Résultats'!E8</f>
        <v>Pér.01</v>
      </c>
      <c r="F8" s="645" t="str">
        <f>'État des Résultats'!F8</f>
        <v>(%)</v>
      </c>
      <c r="G8" s="382"/>
      <c r="H8" s="646" t="str">
        <f>'État des Résultats'!H8</f>
        <v>Pér.02</v>
      </c>
      <c r="I8" s="645" t="str">
        <f>F8</f>
        <v>(%)</v>
      </c>
      <c r="J8" s="382"/>
      <c r="K8" s="646" t="str">
        <f>'État des Résultats'!K8</f>
        <v>Pér.03</v>
      </c>
      <c r="L8" s="645" t="str">
        <f>I8</f>
        <v>(%)</v>
      </c>
      <c r="M8" s="382"/>
      <c r="N8" s="646" t="str">
        <f>'État des Résultats'!N8</f>
        <v>Pér.04</v>
      </c>
      <c r="O8" s="645" t="str">
        <f>L8</f>
        <v>(%)</v>
      </c>
      <c r="P8" s="426"/>
      <c r="Q8" s="646" t="str">
        <f>'État des Résultats'!Q8</f>
        <v>Pér.05</v>
      </c>
      <c r="R8" s="645" t="str">
        <f>O8</f>
        <v>(%)</v>
      </c>
      <c r="S8" s="426"/>
      <c r="T8" s="646" t="str">
        <f>'État des Résultats'!T8</f>
        <v>Pér.06</v>
      </c>
      <c r="U8" s="645" t="str">
        <f>R8</f>
        <v>(%)</v>
      </c>
      <c r="V8" s="382"/>
      <c r="W8" s="646" t="str">
        <f>'État des Résultats'!W8</f>
        <v>Pér.07</v>
      </c>
      <c r="X8" s="645" t="str">
        <f>U8</f>
        <v>(%)</v>
      </c>
      <c r="Y8" s="382"/>
      <c r="Z8" s="646" t="str">
        <f>'État des Résultats'!Z8</f>
        <v>Pér.08</v>
      </c>
      <c r="AA8" s="645" t="str">
        <f>X8</f>
        <v>(%)</v>
      </c>
      <c r="AB8" s="382"/>
      <c r="AC8" s="646" t="str">
        <f>'État des Résultats'!AC8</f>
        <v>Pér.09</v>
      </c>
      <c r="AD8" s="645" t="str">
        <f>AA8</f>
        <v>(%)</v>
      </c>
      <c r="AE8" s="382"/>
      <c r="AF8" s="646" t="str">
        <f>'État des Résultats'!AF8</f>
        <v>Pér.10</v>
      </c>
      <c r="AG8" s="645" t="str">
        <f>AD8</f>
        <v>(%)</v>
      </c>
      <c r="AH8" s="382"/>
      <c r="AI8" s="646" t="str">
        <f>'État des Résultats'!AI8</f>
        <v>Pér.11</v>
      </c>
      <c r="AJ8" s="645" t="str">
        <f>AG8</f>
        <v>(%)</v>
      </c>
      <c r="AK8" s="382"/>
      <c r="AL8" s="646" t="str">
        <f>'État des Résultats'!AL8</f>
        <v>Pér.12</v>
      </c>
      <c r="AM8" s="645" t="str">
        <f>AJ8</f>
        <v>(%)</v>
      </c>
      <c r="AN8" s="647" t="s">
        <v>2</v>
      </c>
      <c r="AO8" s="382"/>
      <c r="AP8" s="676" t="str">
        <f>'État des Résultats'!AS8</f>
        <v>Total</v>
      </c>
      <c r="AQ8" s="677" t="str">
        <f>AM8</f>
        <v>(%)</v>
      </c>
      <c r="AS8" s="1390"/>
      <c r="AT8" s="373"/>
      <c r="AU8" s="373"/>
      <c r="AV8" s="373"/>
      <c r="AW8" s="373"/>
      <c r="AX8" s="373"/>
      <c r="AY8" s="373"/>
      <c r="AZ8" s="373"/>
      <c r="BA8" s="373"/>
      <c r="BB8" s="373"/>
      <c r="BC8" s="1393"/>
    </row>
    <row r="9" spans="2:56" ht="15" thickTop="1" thickBot="1" x14ac:dyDescent="0.2">
      <c r="B9" s="1394">
        <f>E26/B7</f>
        <v>198.6577777777778</v>
      </c>
      <c r="C9" s="1429"/>
      <c r="E9" s="664" t="str">
        <f>'État des Résultats'!E9</f>
        <v>Janvier 2021</v>
      </c>
      <c r="F9" s="665"/>
      <c r="G9" s="292"/>
      <c r="H9" s="666" t="str">
        <f>'État des Résultats'!H9</f>
        <v>Février 2021</v>
      </c>
      <c r="I9" s="667"/>
      <c r="J9" s="292"/>
      <c r="K9" s="666" t="str">
        <f>'État des Résultats'!K9</f>
        <v>Mars 2021</v>
      </c>
      <c r="L9" s="667"/>
      <c r="M9" s="292"/>
      <c r="N9" s="664" t="str">
        <f>'État des Résultats'!N9</f>
        <v>Avril 2021</v>
      </c>
      <c r="O9" s="665"/>
      <c r="P9" s="668"/>
      <c r="Q9" s="664" t="str">
        <f>'État des Résultats'!Q9</f>
        <v>Mai 2021</v>
      </c>
      <c r="R9" s="665"/>
      <c r="S9" s="668"/>
      <c r="T9" s="666" t="str">
        <f>'État des Résultats'!T9</f>
        <v>Juin 2021</v>
      </c>
      <c r="U9" s="667"/>
      <c r="V9" s="292"/>
      <c r="W9" s="666" t="str">
        <f>'État des Résultats'!W9</f>
        <v>Juillet 2021</v>
      </c>
      <c r="X9" s="667"/>
      <c r="Y9" s="292"/>
      <c r="Z9" s="666" t="str">
        <f>'État des Résultats'!Z9</f>
        <v>Août 2021</v>
      </c>
      <c r="AA9" s="667"/>
      <c r="AB9" s="292"/>
      <c r="AC9" s="666" t="str">
        <f>'État des Résultats'!AC9</f>
        <v>Septembre 2021</v>
      </c>
      <c r="AD9" s="667"/>
      <c r="AE9" s="292"/>
      <c r="AF9" s="666" t="str">
        <f>'État des Résultats'!AF9</f>
        <v>Octobre 2021</v>
      </c>
      <c r="AG9" s="667"/>
      <c r="AH9" s="292"/>
      <c r="AI9" s="666" t="str">
        <f>'État des Résultats'!AI9</f>
        <v>Novembre 2021</v>
      </c>
      <c r="AJ9" s="667"/>
      <c r="AK9" s="292"/>
      <c r="AL9" s="666" t="str">
        <f>'État des Résultats'!AL9</f>
        <v>Décembre 2021</v>
      </c>
      <c r="AM9" s="667"/>
      <c r="AN9" s="292"/>
      <c r="AO9" s="292"/>
      <c r="AP9" s="678" t="str">
        <f>'État des Résultats'!AP9</f>
        <v>Année</v>
      </c>
      <c r="AQ9" s="679"/>
      <c r="AR9" s="671"/>
      <c r="AS9" s="671"/>
      <c r="AT9" s="328"/>
      <c r="AU9" s="328"/>
      <c r="AV9" s="328"/>
      <c r="AW9" s="649"/>
      <c r="AX9" s="649"/>
      <c r="AY9" s="649"/>
      <c r="AZ9" s="649"/>
    </row>
    <row r="10" spans="2:56" ht="15" thickTop="1" thickBot="1" x14ac:dyDescent="0.2">
      <c r="D10" s="251"/>
      <c r="G10" s="388"/>
      <c r="J10" s="388"/>
      <c r="M10" s="388"/>
      <c r="P10" s="433"/>
      <c r="S10" s="433"/>
      <c r="V10" s="388"/>
      <c r="Y10" s="187"/>
      <c r="AB10" s="388"/>
      <c r="AE10" s="388"/>
      <c r="AH10" s="388"/>
      <c r="AK10" s="388"/>
      <c r="AN10" s="388"/>
      <c r="AO10" s="388"/>
      <c r="AR10" s="170"/>
      <c r="AS10" s="170"/>
      <c r="AT10" s="170"/>
    </row>
    <row r="11" spans="2:56" ht="20" customHeight="1" thickTop="1" x14ac:dyDescent="0.2">
      <c r="B11" s="650"/>
      <c r="C11" s="691" t="s">
        <v>245</v>
      </c>
      <c r="E11" s="650"/>
      <c r="F11" s="651"/>
      <c r="H11" s="650"/>
      <c r="I11" s="651"/>
      <c r="K11" s="650"/>
      <c r="L11" s="651"/>
      <c r="N11" s="650"/>
      <c r="O11" s="651"/>
      <c r="Q11" s="650"/>
      <c r="R11" s="651"/>
      <c r="T11" s="650"/>
      <c r="U11" s="651"/>
      <c r="W11" s="650"/>
      <c r="X11" s="651"/>
      <c r="Z11" s="650"/>
      <c r="AA11" s="651"/>
      <c r="AC11" s="650"/>
      <c r="AD11" s="651"/>
      <c r="AF11" s="650"/>
      <c r="AG11" s="651"/>
      <c r="AI11" s="650"/>
      <c r="AJ11" s="651"/>
      <c r="AL11" s="650"/>
      <c r="AM11" s="651"/>
      <c r="AP11" s="613"/>
      <c r="AQ11" s="615"/>
      <c r="AR11" s="187"/>
      <c r="AS11" s="187"/>
      <c r="AT11" s="187"/>
      <c r="AU11" s="187"/>
      <c r="AV11" s="187"/>
      <c r="AW11" s="187"/>
      <c r="AX11" s="187"/>
      <c r="AY11" s="187"/>
      <c r="AZ11" s="187"/>
      <c r="BA11" s="187"/>
      <c r="BB11" s="187"/>
      <c r="BC11" s="187"/>
      <c r="BD11" s="187"/>
    </row>
    <row r="12" spans="2:56" x14ac:dyDescent="0.15">
      <c r="B12" s="190"/>
      <c r="C12" s="652"/>
      <c r="E12" s="190"/>
      <c r="F12" s="391"/>
      <c r="H12" s="190"/>
      <c r="I12" s="391"/>
      <c r="K12" s="190"/>
      <c r="L12" s="391"/>
      <c r="N12" s="190"/>
      <c r="O12" s="391"/>
      <c r="Q12" s="190"/>
      <c r="R12" s="391"/>
      <c r="T12" s="190"/>
      <c r="U12" s="391"/>
      <c r="W12" s="190"/>
      <c r="X12" s="391"/>
      <c r="Z12" s="190"/>
      <c r="AA12" s="391"/>
      <c r="AC12" s="190"/>
      <c r="AD12" s="391"/>
      <c r="AF12" s="190"/>
      <c r="AG12" s="391"/>
      <c r="AI12" s="190"/>
      <c r="AJ12" s="391"/>
      <c r="AL12" s="190"/>
      <c r="AM12" s="191"/>
      <c r="AP12" s="193"/>
      <c r="AQ12" s="494"/>
      <c r="AR12" s="187"/>
      <c r="AS12" s="187"/>
      <c r="AT12" s="187"/>
      <c r="AU12" s="187"/>
      <c r="AV12" s="187"/>
      <c r="AW12" s="187"/>
      <c r="AX12" s="187"/>
      <c r="AY12" s="187"/>
      <c r="AZ12" s="187"/>
      <c r="BA12" s="187"/>
      <c r="BB12" s="187"/>
      <c r="BC12" s="187"/>
      <c r="BD12" s="187"/>
    </row>
    <row r="13" spans="2:56" x14ac:dyDescent="0.15">
      <c r="B13" s="653">
        <v>7305</v>
      </c>
      <c r="C13" s="391" t="s">
        <v>246</v>
      </c>
      <c r="E13" s="793">
        <v>4500</v>
      </c>
      <c r="F13" s="654">
        <f>E13/'État des Résultats'!E14</f>
        <v>6.1655096821337227E-2</v>
      </c>
      <c r="H13" s="793">
        <f>+E13</f>
        <v>4500</v>
      </c>
      <c r="I13" s="654">
        <f>H13/'État des Résultats'!H14</f>
        <v>6.3609484880967807E-2</v>
      </c>
      <c r="K13" s="793">
        <f>+H13</f>
        <v>4500</v>
      </c>
      <c r="L13" s="654">
        <f>K13/'État des Résultats'!K14</f>
        <v>5.7083055846256302E-2</v>
      </c>
      <c r="N13" s="793">
        <f>+K13</f>
        <v>4500</v>
      </c>
      <c r="O13" s="654">
        <f>N13/'État des Résultats'!N14</f>
        <v>5.4388540310383919E-2</v>
      </c>
      <c r="Q13" s="793">
        <f>+N13</f>
        <v>4500</v>
      </c>
      <c r="R13" s="654">
        <f>Q13/'État des Résultats'!Q14</f>
        <v>5.0515784873104347E-2</v>
      </c>
      <c r="T13" s="793">
        <f>+Q13</f>
        <v>4500</v>
      </c>
      <c r="U13" s="654">
        <f>T13/'État des Résultats'!T14</f>
        <v>4.9155238104150185E-2</v>
      </c>
      <c r="W13" s="793">
        <f>+T13</f>
        <v>4500</v>
      </c>
      <c r="X13" s="654">
        <f>W13/'État des Résultats'!W14</f>
        <v>4.5763446406504177E-2</v>
      </c>
      <c r="Z13" s="793">
        <f>+W13</f>
        <v>4500</v>
      </c>
      <c r="AA13" s="654">
        <f>Z13/'État des Résultats'!Z14</f>
        <v>4.5167272476890917E-2</v>
      </c>
      <c r="AC13" s="793">
        <f>+Z13</f>
        <v>4500</v>
      </c>
      <c r="AD13" s="654">
        <f>AC13/'État des Résultats'!AC14</f>
        <v>4.9395958773913264E-2</v>
      </c>
      <c r="AF13" s="793">
        <f>+AC13</f>
        <v>4500</v>
      </c>
      <c r="AG13" s="654">
        <f>AF13/'État des Résultats'!AF14</f>
        <v>4.7690390592953873E-2</v>
      </c>
      <c r="AI13" s="793">
        <f>+AF13</f>
        <v>4500</v>
      </c>
      <c r="AJ13" s="654">
        <f>AI13/'État des Résultats'!AI14</f>
        <v>5.1307163044339785E-2</v>
      </c>
      <c r="AL13" s="793">
        <f>+AI13</f>
        <v>4500</v>
      </c>
      <c r="AM13" s="654">
        <f>AL13/'État des Résultats'!AL14</f>
        <v>4.6167469108576956E-2</v>
      </c>
      <c r="AP13" s="796">
        <f>SUM(+$AL13+$AI13+$AF13+$AC13+$Z13+$W13+$T13+$Q13+$N13+$K13+$H13+$E13)</f>
        <v>54000</v>
      </c>
      <c r="AQ13" s="656">
        <f>AP13/'État des Résultats'!$AP$14</f>
        <v>5.1207743197447829E-2</v>
      </c>
    </row>
    <row r="14" spans="2:56" x14ac:dyDescent="0.15">
      <c r="B14" s="653">
        <v>7310</v>
      </c>
      <c r="C14" s="391" t="s">
        <v>247</v>
      </c>
      <c r="E14" s="793">
        <f>+(0.01*'État des Résultats'!E14)</f>
        <v>729.86666666666667</v>
      </c>
      <c r="F14" s="657">
        <f>E14/'État des Résultats'!E14</f>
        <v>0.01</v>
      </c>
      <c r="H14" s="1069">
        <f>+(0.01*'État des Résultats'!H14)</f>
        <v>707.44166666666672</v>
      </c>
      <c r="I14" s="657">
        <f>H14/'État des Résultats'!H14</f>
        <v>0.01</v>
      </c>
      <c r="K14" s="1069">
        <f>+(0.01*'État des Résultats'!K14)</f>
        <v>788.32500000000005</v>
      </c>
      <c r="L14" s="657">
        <f>K14/'État des Résultats'!K14</f>
        <v>0.01</v>
      </c>
      <c r="N14" s="1069">
        <f>+(0.01*'État des Résultats'!N14)</f>
        <v>827.38017500000001</v>
      </c>
      <c r="O14" s="657">
        <f>N14/'État des Résultats'!N14</f>
        <v>0.01</v>
      </c>
      <c r="Q14" s="1069">
        <f>+(0.01*'État des Résultats'!Q14)</f>
        <v>890.81066666666663</v>
      </c>
      <c r="R14" s="657">
        <f>Q14/'État des Résultats'!Q14</f>
        <v>0.01</v>
      </c>
      <c r="T14" s="1069">
        <f>+(0.01*'État des Résultats'!T14)</f>
        <v>915.46703333333335</v>
      </c>
      <c r="U14" s="657">
        <f>T14/'État des Résultats'!T14</f>
        <v>0.01</v>
      </c>
      <c r="W14" s="1069">
        <f>+(0.01*'État des Résultats'!W14)</f>
        <v>983.31755000000021</v>
      </c>
      <c r="X14" s="657">
        <f>W14/'État des Résultats'!W14</f>
        <v>0.01</v>
      </c>
      <c r="Z14" s="1069">
        <f>+(0.01*'État des Résultats'!Z14)</f>
        <v>996.29660000000001</v>
      </c>
      <c r="AA14" s="657">
        <f>Z14/'État des Résultats'!Z14</f>
        <v>0.01</v>
      </c>
      <c r="AC14" s="1069">
        <f>+(0.01*'État des Résultats'!AC14)</f>
        <v>911.00570000000005</v>
      </c>
      <c r="AD14" s="657">
        <f>AC14/'État des Résultats'!AC14</f>
        <v>0.01</v>
      </c>
      <c r="AF14" s="1069">
        <f>+(0.01*'État des Résultats'!AF14)</f>
        <v>943.58631666666679</v>
      </c>
      <c r="AG14" s="657">
        <f>AF14/'État des Résultats'!AF14</f>
        <v>0.01</v>
      </c>
      <c r="AI14" s="1069">
        <f>+(0.01*'État des Résultats'!AI14)</f>
        <v>877.07051666666666</v>
      </c>
      <c r="AJ14" s="657">
        <f>AI14/'État des Résultats'!AI14</f>
        <v>0.01</v>
      </c>
      <c r="AL14" s="1069">
        <f>+(0.01*'État des Résultats'!AL14)</f>
        <v>974.71230000000014</v>
      </c>
      <c r="AM14" s="657">
        <f>AL14/'État des Résultats'!AL14</f>
        <v>0.01</v>
      </c>
      <c r="AP14" s="796">
        <f>SUM(+$AL14+$AI14+$AF14+$AC14+$Z14+$W14+$T14+$Q14+$N14+$K14+$H14+$E14)</f>
        <v>10545.280191666669</v>
      </c>
      <c r="AQ14" s="656">
        <f>AP14/'État des Résultats'!$AP$14</f>
        <v>1.0000000000000004E-2</v>
      </c>
    </row>
    <row r="15" spans="2:56" x14ac:dyDescent="0.15">
      <c r="B15" s="653">
        <v>7315</v>
      </c>
      <c r="C15" s="391" t="s">
        <v>248</v>
      </c>
      <c r="E15" s="793">
        <v>0</v>
      </c>
      <c r="F15" s="657">
        <f>E15/'État des Résultats'!E14</f>
        <v>0</v>
      </c>
      <c r="G15" s="658" t="s">
        <v>2</v>
      </c>
      <c r="H15" s="793">
        <v>0</v>
      </c>
      <c r="I15" s="657">
        <f>H15/'État des Résultats'!H14</f>
        <v>0</v>
      </c>
      <c r="K15" s="793">
        <v>0</v>
      </c>
      <c r="L15" s="657">
        <f>K15/'État des Résultats'!K14</f>
        <v>0</v>
      </c>
      <c r="N15" s="793">
        <v>0</v>
      </c>
      <c r="O15" s="657">
        <f>N15/'État des Résultats'!N14</f>
        <v>0</v>
      </c>
      <c r="Q15" s="793">
        <v>0</v>
      </c>
      <c r="R15" s="657">
        <f>Q15/'État des Résultats'!Q14</f>
        <v>0</v>
      </c>
      <c r="T15" s="793">
        <v>0</v>
      </c>
      <c r="U15" s="657">
        <f>T15/'État des Résultats'!T14</f>
        <v>0</v>
      </c>
      <c r="W15" s="793">
        <v>0</v>
      </c>
      <c r="X15" s="657">
        <f>W15/'État des Résultats'!W14</f>
        <v>0</v>
      </c>
      <c r="Z15" s="793">
        <v>0</v>
      </c>
      <c r="AA15" s="657">
        <f>Z15/'État des Résultats'!Z14</f>
        <v>0</v>
      </c>
      <c r="AC15" s="793">
        <v>0</v>
      </c>
      <c r="AD15" s="657">
        <f>AC15/'État des Résultats'!AC14</f>
        <v>0</v>
      </c>
      <c r="AF15" s="793">
        <v>0</v>
      </c>
      <c r="AG15" s="657">
        <f>AF15/'État des Résultats'!AF14</f>
        <v>0</v>
      </c>
      <c r="AI15" s="793">
        <v>0</v>
      </c>
      <c r="AJ15" s="657">
        <f>AI15/'État des Résultats'!AI14</f>
        <v>0</v>
      </c>
      <c r="AL15" s="793">
        <v>0</v>
      </c>
      <c r="AM15" s="657">
        <f>AL15/'État des Résultats'!AL14</f>
        <v>0</v>
      </c>
      <c r="AP15" s="796">
        <f t="shared" ref="AP15:AP24" si="0">SUM(+$AL15+$AI15+$AF15+$AC15+$Z15+$W15+$T15+$Q15+$N15+$K15+$H15+$E15)</f>
        <v>0</v>
      </c>
      <c r="AQ15" s="656">
        <f>AP15/'État des Résultats'!$AP$14</f>
        <v>0</v>
      </c>
    </row>
    <row r="16" spans="2:56" x14ac:dyDescent="0.15">
      <c r="B16" s="653">
        <v>7320</v>
      </c>
      <c r="C16" s="391" t="s">
        <v>249</v>
      </c>
      <c r="E16" s="793">
        <v>0</v>
      </c>
      <c r="F16" s="657">
        <f>E16/'État des Résultats'!E14</f>
        <v>0</v>
      </c>
      <c r="H16" s="793">
        <v>0</v>
      </c>
      <c r="I16" s="657">
        <f>H16/'État des Résultats'!H14</f>
        <v>0</v>
      </c>
      <c r="K16" s="793">
        <v>0</v>
      </c>
      <c r="L16" s="657">
        <f>K16/'État des Résultats'!K14</f>
        <v>0</v>
      </c>
      <c r="N16" s="793">
        <v>0</v>
      </c>
      <c r="O16" s="657">
        <f>N16/'État des Résultats'!N14</f>
        <v>0</v>
      </c>
      <c r="Q16" s="793">
        <v>0</v>
      </c>
      <c r="R16" s="657">
        <f>Q16/'État des Résultats'!Q14</f>
        <v>0</v>
      </c>
      <c r="T16" s="793">
        <v>0</v>
      </c>
      <c r="U16" s="657">
        <f>T16/'État des Résultats'!T14</f>
        <v>0</v>
      </c>
      <c r="W16" s="793">
        <v>0</v>
      </c>
      <c r="X16" s="657">
        <f>W16/'État des Résultats'!W14</f>
        <v>0</v>
      </c>
      <c r="Z16" s="793">
        <v>0</v>
      </c>
      <c r="AA16" s="657">
        <f>Z16/'État des Résultats'!Z14</f>
        <v>0</v>
      </c>
      <c r="AC16" s="793">
        <v>0</v>
      </c>
      <c r="AD16" s="657">
        <f>AC16/'État des Résultats'!AC14</f>
        <v>0</v>
      </c>
      <c r="AF16" s="793">
        <v>0</v>
      </c>
      <c r="AG16" s="657">
        <f>AF16/'État des Résultats'!AF14</f>
        <v>0</v>
      </c>
      <c r="AI16" s="793">
        <v>0</v>
      </c>
      <c r="AJ16" s="657">
        <f>AI16/'État des Résultats'!AI14</f>
        <v>0</v>
      </c>
      <c r="AL16" s="793">
        <v>0</v>
      </c>
      <c r="AM16" s="657">
        <f>AL16/'État des Résultats'!AL14</f>
        <v>0</v>
      </c>
      <c r="AP16" s="796">
        <f t="shared" si="0"/>
        <v>0</v>
      </c>
      <c r="AQ16" s="656">
        <f>AP16/'État des Résultats'!$AP$14</f>
        <v>0</v>
      </c>
    </row>
    <row r="17" spans="2:47" x14ac:dyDescent="0.15">
      <c r="B17" s="653">
        <v>7325</v>
      </c>
      <c r="C17" s="391" t="s">
        <v>250</v>
      </c>
      <c r="E17" s="793">
        <v>0</v>
      </c>
      <c r="F17" s="657">
        <f>E17/'État des Résultats'!E14</f>
        <v>0</v>
      </c>
      <c r="H17" s="793">
        <v>0</v>
      </c>
      <c r="I17" s="657">
        <f>H17/'État des Résultats'!H14</f>
        <v>0</v>
      </c>
      <c r="K17" s="793">
        <v>0</v>
      </c>
      <c r="L17" s="657">
        <f>K17/'État des Résultats'!K14</f>
        <v>0</v>
      </c>
      <c r="N17" s="793">
        <v>0</v>
      </c>
      <c r="O17" s="657">
        <f>N17/'État des Résultats'!N14</f>
        <v>0</v>
      </c>
      <c r="Q17" s="793">
        <v>0</v>
      </c>
      <c r="R17" s="657">
        <f>Q17/'État des Résultats'!Q14</f>
        <v>0</v>
      </c>
      <c r="T17" s="793">
        <v>0</v>
      </c>
      <c r="U17" s="657">
        <f>T17/'État des Résultats'!T14</f>
        <v>0</v>
      </c>
      <c r="W17" s="793">
        <v>0</v>
      </c>
      <c r="X17" s="657">
        <f>W17/'État des Résultats'!W14</f>
        <v>0</v>
      </c>
      <c r="Z17" s="793">
        <v>0</v>
      </c>
      <c r="AA17" s="657">
        <f>Z17/'État des Résultats'!Z14</f>
        <v>0</v>
      </c>
      <c r="AC17" s="793">
        <v>0</v>
      </c>
      <c r="AD17" s="657">
        <f>AC17/'État des Résultats'!AC14</f>
        <v>0</v>
      </c>
      <c r="AF17" s="793">
        <v>0</v>
      </c>
      <c r="AG17" s="657">
        <f>AF17/'État des Résultats'!AF14</f>
        <v>0</v>
      </c>
      <c r="AI17" s="793">
        <v>0</v>
      </c>
      <c r="AJ17" s="657">
        <f>AI17/'État des Résultats'!AI14</f>
        <v>0</v>
      </c>
      <c r="AL17" s="793">
        <v>0</v>
      </c>
      <c r="AM17" s="657">
        <f>AL17/'État des Résultats'!AL14</f>
        <v>0</v>
      </c>
      <c r="AP17" s="796">
        <f t="shared" si="0"/>
        <v>0</v>
      </c>
      <c r="AQ17" s="656">
        <f>AP17/'État des Résultats'!$AP$14</f>
        <v>0</v>
      </c>
    </row>
    <row r="18" spans="2:47" x14ac:dyDescent="0.15">
      <c r="B18" s="653">
        <v>7330</v>
      </c>
      <c r="C18" s="391" t="s">
        <v>251</v>
      </c>
      <c r="E18" s="793">
        <v>0</v>
      </c>
      <c r="F18" s="657">
        <f>E18/'État des Résultats'!E14</f>
        <v>0</v>
      </c>
      <c r="H18" s="793">
        <v>0</v>
      </c>
      <c r="I18" s="657">
        <f>H18/'État des Résultats'!H14</f>
        <v>0</v>
      </c>
      <c r="K18" s="793">
        <v>0</v>
      </c>
      <c r="L18" s="657">
        <f>K18/'État des Résultats'!K14</f>
        <v>0</v>
      </c>
      <c r="N18" s="793">
        <v>0</v>
      </c>
      <c r="O18" s="657">
        <f>N18/'État des Résultats'!N14</f>
        <v>0</v>
      </c>
      <c r="Q18" s="793">
        <v>0</v>
      </c>
      <c r="R18" s="657">
        <f>Q18/'État des Résultats'!Q14</f>
        <v>0</v>
      </c>
      <c r="T18" s="793">
        <v>0</v>
      </c>
      <c r="U18" s="657">
        <f>T18/'État des Résultats'!T14</f>
        <v>0</v>
      </c>
      <c r="W18" s="793">
        <v>0</v>
      </c>
      <c r="X18" s="657">
        <f>W18/'État des Résultats'!W14</f>
        <v>0</v>
      </c>
      <c r="Z18" s="793">
        <v>0</v>
      </c>
      <c r="AA18" s="657">
        <f>Z18/'État des Résultats'!Z14</f>
        <v>0</v>
      </c>
      <c r="AC18" s="793">
        <v>0</v>
      </c>
      <c r="AD18" s="657">
        <f>AC18/'État des Résultats'!AC14</f>
        <v>0</v>
      </c>
      <c r="AF18" s="793">
        <v>0</v>
      </c>
      <c r="AG18" s="657">
        <f>AF18/'État des Résultats'!AF14</f>
        <v>0</v>
      </c>
      <c r="AI18" s="793">
        <v>0</v>
      </c>
      <c r="AJ18" s="657">
        <f>AI18/'État des Résultats'!AI14</f>
        <v>0</v>
      </c>
      <c r="AL18" s="793">
        <v>0</v>
      </c>
      <c r="AM18" s="657">
        <f>AL18/'État des Résultats'!AL14</f>
        <v>0</v>
      </c>
      <c r="AP18" s="796">
        <f t="shared" si="0"/>
        <v>0</v>
      </c>
      <c r="AQ18" s="656">
        <f>AP18/'État des Résultats'!$AP$14</f>
        <v>0</v>
      </c>
      <c r="AS18" s="209"/>
    </row>
    <row r="19" spans="2:47" x14ac:dyDescent="0.15">
      <c r="B19" s="653">
        <v>7335</v>
      </c>
      <c r="C19" s="391" t="s">
        <v>252</v>
      </c>
      <c r="E19" s="793">
        <v>0</v>
      </c>
      <c r="F19" s="657">
        <f>E19/'État des Résultats'!E14</f>
        <v>0</v>
      </c>
      <c r="H19" s="793">
        <v>0</v>
      </c>
      <c r="I19" s="657">
        <f>H19/'État des Résultats'!H14</f>
        <v>0</v>
      </c>
      <c r="K19" s="793">
        <v>0</v>
      </c>
      <c r="L19" s="657">
        <f>K19/'État des Résultats'!K14</f>
        <v>0</v>
      </c>
      <c r="N19" s="793">
        <v>0</v>
      </c>
      <c r="O19" s="657">
        <f>N19/'État des Résultats'!N14</f>
        <v>0</v>
      </c>
      <c r="Q19" s="793">
        <v>0</v>
      </c>
      <c r="R19" s="657">
        <f>Q19/'État des Résultats'!Q14</f>
        <v>0</v>
      </c>
      <c r="T19" s="793">
        <v>0</v>
      </c>
      <c r="U19" s="657">
        <f>T19/'État des Résultats'!T14</f>
        <v>0</v>
      </c>
      <c r="W19" s="793">
        <v>0</v>
      </c>
      <c r="X19" s="657">
        <f>W19/'État des Résultats'!W14</f>
        <v>0</v>
      </c>
      <c r="Z19" s="793">
        <v>0</v>
      </c>
      <c r="AA19" s="657">
        <f>Z19/'État des Résultats'!Z14</f>
        <v>0</v>
      </c>
      <c r="AC19" s="793">
        <v>0</v>
      </c>
      <c r="AD19" s="657">
        <f>AC19/'État des Résultats'!AC14</f>
        <v>0</v>
      </c>
      <c r="AF19" s="793">
        <v>0</v>
      </c>
      <c r="AG19" s="657">
        <f>AF19/'État des Résultats'!AF14</f>
        <v>0</v>
      </c>
      <c r="AI19" s="793">
        <v>0</v>
      </c>
      <c r="AJ19" s="657">
        <f>AI19/'État des Résultats'!AI14</f>
        <v>0</v>
      </c>
      <c r="AL19" s="793">
        <v>0</v>
      </c>
      <c r="AM19" s="657">
        <f>AL19/'État des Résultats'!AL14</f>
        <v>0</v>
      </c>
      <c r="AP19" s="796">
        <f t="shared" si="0"/>
        <v>0</v>
      </c>
      <c r="AQ19" s="656">
        <f>AP19/'État des Résultats'!$AP$14</f>
        <v>0</v>
      </c>
    </row>
    <row r="20" spans="2:47" x14ac:dyDescent="0.15">
      <c r="B20" s="653">
        <v>7340</v>
      </c>
      <c r="C20" s="391" t="s">
        <v>253</v>
      </c>
      <c r="E20" s="793">
        <v>0</v>
      </c>
      <c r="F20" s="657">
        <f>E20/'État des Résultats'!E14</f>
        <v>0</v>
      </c>
      <c r="H20" s="793">
        <v>0</v>
      </c>
      <c r="I20" s="657">
        <f>H20/'État des Résultats'!H14</f>
        <v>0</v>
      </c>
      <c r="K20" s="793">
        <v>0</v>
      </c>
      <c r="L20" s="657">
        <f>K20/'État des Résultats'!K14</f>
        <v>0</v>
      </c>
      <c r="N20" s="793">
        <v>0</v>
      </c>
      <c r="O20" s="657">
        <f>N20/'État des Résultats'!N14</f>
        <v>0</v>
      </c>
      <c r="Q20" s="793">
        <v>0</v>
      </c>
      <c r="R20" s="657">
        <f>Q20/'État des Résultats'!Q14</f>
        <v>0</v>
      </c>
      <c r="T20" s="793">
        <v>0</v>
      </c>
      <c r="U20" s="657">
        <f>T20/'État des Résultats'!T14</f>
        <v>0</v>
      </c>
      <c r="W20" s="793">
        <v>0</v>
      </c>
      <c r="X20" s="657">
        <f>W20/'État des Résultats'!W14</f>
        <v>0</v>
      </c>
      <c r="Z20" s="793">
        <v>0</v>
      </c>
      <c r="AA20" s="657">
        <f>Z20/'État des Résultats'!Z14</f>
        <v>0</v>
      </c>
      <c r="AC20" s="793">
        <v>0</v>
      </c>
      <c r="AD20" s="657">
        <f>AC20/'État des Résultats'!AC14</f>
        <v>0</v>
      </c>
      <c r="AF20" s="793">
        <v>0</v>
      </c>
      <c r="AG20" s="657">
        <f>AF20/'État des Résultats'!AF14</f>
        <v>0</v>
      </c>
      <c r="AI20" s="793">
        <v>0</v>
      </c>
      <c r="AJ20" s="657">
        <f>AI20/'État des Résultats'!AI14</f>
        <v>0</v>
      </c>
      <c r="AL20" s="793">
        <v>0</v>
      </c>
      <c r="AM20" s="657">
        <f>AL20/'État des Résultats'!AL14</f>
        <v>0</v>
      </c>
      <c r="AP20" s="796">
        <f t="shared" si="0"/>
        <v>0</v>
      </c>
      <c r="AQ20" s="656">
        <f>AP20/'État des Résultats'!$AP$14</f>
        <v>0</v>
      </c>
    </row>
    <row r="21" spans="2:47" x14ac:dyDescent="0.15">
      <c r="B21" s="653">
        <v>7345</v>
      </c>
      <c r="C21" s="391" t="s">
        <v>254</v>
      </c>
      <c r="E21" s="793">
        <v>0</v>
      </c>
      <c r="F21" s="657">
        <f>E21/'État des Résultats'!E14</f>
        <v>0</v>
      </c>
      <c r="H21" s="793">
        <v>0</v>
      </c>
      <c r="I21" s="657">
        <f>H21/'État des Résultats'!H14</f>
        <v>0</v>
      </c>
      <c r="K21" s="793">
        <v>0</v>
      </c>
      <c r="L21" s="657">
        <f>K21/'État des Résultats'!K14</f>
        <v>0</v>
      </c>
      <c r="N21" s="793">
        <v>0</v>
      </c>
      <c r="O21" s="657">
        <f>N21/'État des Résultats'!N14</f>
        <v>0</v>
      </c>
      <c r="Q21" s="793">
        <v>0</v>
      </c>
      <c r="R21" s="657">
        <f>Q21/'État des Résultats'!Q14</f>
        <v>0</v>
      </c>
      <c r="T21" s="793">
        <v>0</v>
      </c>
      <c r="U21" s="657">
        <f>T21/'État des Résultats'!T14</f>
        <v>0</v>
      </c>
      <c r="W21" s="793">
        <v>0</v>
      </c>
      <c r="X21" s="657">
        <f>W21/'État des Résultats'!W14</f>
        <v>0</v>
      </c>
      <c r="Z21" s="793">
        <v>0</v>
      </c>
      <c r="AA21" s="657">
        <f>Z21/'État des Résultats'!Z14</f>
        <v>0</v>
      </c>
      <c r="AC21" s="793">
        <v>0</v>
      </c>
      <c r="AD21" s="657">
        <f>AC21/'État des Résultats'!AC14</f>
        <v>0</v>
      </c>
      <c r="AF21" s="793">
        <v>0</v>
      </c>
      <c r="AG21" s="657">
        <f>AF21/'État des Résultats'!AF14</f>
        <v>0</v>
      </c>
      <c r="AI21" s="793">
        <v>0</v>
      </c>
      <c r="AJ21" s="657">
        <f>AI21/'État des Résultats'!AI14</f>
        <v>0</v>
      </c>
      <c r="AL21" s="793">
        <v>0</v>
      </c>
      <c r="AM21" s="657">
        <f>AL21/'État des Résultats'!AL14</f>
        <v>0</v>
      </c>
      <c r="AP21" s="796">
        <f t="shared" si="0"/>
        <v>0</v>
      </c>
      <c r="AQ21" s="656">
        <f>AP21/'État des Résultats'!$AP$14</f>
        <v>0</v>
      </c>
    </row>
    <row r="22" spans="2:47" x14ac:dyDescent="0.15">
      <c r="B22" s="653">
        <v>7350</v>
      </c>
      <c r="C22" s="391" t="s">
        <v>255</v>
      </c>
      <c r="E22" s="793">
        <v>0</v>
      </c>
      <c r="F22" s="657">
        <f>E22/'État des Résultats'!E14</f>
        <v>0</v>
      </c>
      <c r="H22" s="793">
        <v>0</v>
      </c>
      <c r="I22" s="657">
        <f>H22/'État des Résultats'!H14</f>
        <v>0</v>
      </c>
      <c r="K22" s="793">
        <v>0</v>
      </c>
      <c r="L22" s="657">
        <f>K22/'État des Résultats'!K14</f>
        <v>0</v>
      </c>
      <c r="N22" s="793">
        <v>0</v>
      </c>
      <c r="O22" s="657">
        <f>N22/'État des Résultats'!N14</f>
        <v>0</v>
      </c>
      <c r="Q22" s="793">
        <v>0</v>
      </c>
      <c r="R22" s="657">
        <f>Q22/'État des Résultats'!Q14</f>
        <v>0</v>
      </c>
      <c r="T22" s="793">
        <v>0</v>
      </c>
      <c r="U22" s="657">
        <f>T22/'État des Résultats'!T14</f>
        <v>0</v>
      </c>
      <c r="W22" s="793">
        <v>0</v>
      </c>
      <c r="X22" s="657">
        <f>W22/'État des Résultats'!W14</f>
        <v>0</v>
      </c>
      <c r="Z22" s="793">
        <v>0</v>
      </c>
      <c r="AA22" s="657">
        <f>Z22/'État des Résultats'!Z14</f>
        <v>0</v>
      </c>
      <c r="AC22" s="793">
        <v>0</v>
      </c>
      <c r="AD22" s="657">
        <f>AC22/'État des Résultats'!AC14</f>
        <v>0</v>
      </c>
      <c r="AF22" s="793">
        <v>0</v>
      </c>
      <c r="AG22" s="657">
        <f>AF22/'État des Résultats'!AF14</f>
        <v>0</v>
      </c>
      <c r="AI22" s="793">
        <v>0</v>
      </c>
      <c r="AJ22" s="657">
        <f>AI22/'État des Résultats'!AI14</f>
        <v>0</v>
      </c>
      <c r="AL22" s="793">
        <v>0</v>
      </c>
      <c r="AM22" s="657">
        <f>AL22/'État des Résultats'!AL14</f>
        <v>0</v>
      </c>
      <c r="AP22" s="796">
        <f t="shared" si="0"/>
        <v>0</v>
      </c>
      <c r="AQ22" s="656">
        <f>AP22/'État des Résultats'!$AP$14</f>
        <v>0</v>
      </c>
    </row>
    <row r="23" spans="2:47" x14ac:dyDescent="0.15">
      <c r="B23" s="653">
        <v>7360</v>
      </c>
      <c r="C23" s="391" t="s">
        <v>256</v>
      </c>
      <c r="E23" s="793">
        <v>0</v>
      </c>
      <c r="F23" s="657">
        <f>E23/'État des Résultats'!E14</f>
        <v>0</v>
      </c>
      <c r="H23" s="793">
        <v>0</v>
      </c>
      <c r="I23" s="657">
        <f>H23/'État des Résultats'!H14</f>
        <v>0</v>
      </c>
      <c r="K23" s="793">
        <v>0</v>
      </c>
      <c r="L23" s="657">
        <f>K23/'État des Résultats'!K14</f>
        <v>0</v>
      </c>
      <c r="N23" s="793">
        <v>0</v>
      </c>
      <c r="O23" s="657">
        <f>N23/'État des Résultats'!N14</f>
        <v>0</v>
      </c>
      <c r="Q23" s="793">
        <v>0</v>
      </c>
      <c r="R23" s="657">
        <f>Q23/'État des Résultats'!Q14</f>
        <v>0</v>
      </c>
      <c r="T23" s="793">
        <v>0</v>
      </c>
      <c r="U23" s="657">
        <f>T23/'État des Résultats'!T14</f>
        <v>0</v>
      </c>
      <c r="W23" s="793">
        <v>0</v>
      </c>
      <c r="X23" s="657">
        <f>W23/'État des Résultats'!W14</f>
        <v>0</v>
      </c>
      <c r="Z23" s="793">
        <v>0</v>
      </c>
      <c r="AA23" s="657">
        <f>Z23/'État des Résultats'!Z14</f>
        <v>0</v>
      </c>
      <c r="AC23" s="793">
        <v>0</v>
      </c>
      <c r="AD23" s="657">
        <f>AC23/'État des Résultats'!AC14</f>
        <v>0</v>
      </c>
      <c r="AF23" s="793">
        <v>0</v>
      </c>
      <c r="AG23" s="657">
        <f>AF23/'État des Résultats'!AF14</f>
        <v>0</v>
      </c>
      <c r="AI23" s="793">
        <v>0</v>
      </c>
      <c r="AJ23" s="657">
        <f>AI23/'État des Résultats'!AI14</f>
        <v>0</v>
      </c>
      <c r="AL23" s="793">
        <v>0</v>
      </c>
      <c r="AM23" s="657">
        <f>AL23/'État des Résultats'!AL14</f>
        <v>0</v>
      </c>
      <c r="AP23" s="796">
        <f t="shared" si="0"/>
        <v>0</v>
      </c>
      <c r="AQ23" s="656">
        <f>AP23/'État des Résultats'!$AP$14</f>
        <v>0</v>
      </c>
    </row>
    <row r="24" spans="2:47" x14ac:dyDescent="0.15">
      <c r="B24" s="653">
        <v>7399</v>
      </c>
      <c r="C24" s="391" t="s">
        <v>257</v>
      </c>
      <c r="E24" s="793">
        <f>0.01*'État des Résultats'!E14</f>
        <v>729.86666666666667</v>
      </c>
      <c r="F24" s="657">
        <f>E24/'État des Résultats'!E14</f>
        <v>0.01</v>
      </c>
      <c r="H24" s="793">
        <f>0.01*'État des Résultats'!H14</f>
        <v>707.44166666666672</v>
      </c>
      <c r="I24" s="657">
        <f>H24/'État des Résultats'!H14</f>
        <v>0.01</v>
      </c>
      <c r="K24" s="793">
        <f>0.01*'État des Résultats'!K14</f>
        <v>788.32500000000005</v>
      </c>
      <c r="L24" s="657">
        <f>K24/'État des Résultats'!K14</f>
        <v>0.01</v>
      </c>
      <c r="N24" s="793">
        <f>0.01*'État des Résultats'!N14</f>
        <v>827.38017500000001</v>
      </c>
      <c r="O24" s="657">
        <f>N24/'État des Résultats'!N14</f>
        <v>0.01</v>
      </c>
      <c r="Q24" s="793">
        <f>0.01*'État des Résultats'!Q14</f>
        <v>890.81066666666663</v>
      </c>
      <c r="R24" s="657">
        <f>Q24/'État des Résultats'!Q14</f>
        <v>0.01</v>
      </c>
      <c r="T24" s="793">
        <f>0.01*'État des Résultats'!T14</f>
        <v>915.46703333333335</v>
      </c>
      <c r="U24" s="657">
        <f>T24/'État des Résultats'!T14</f>
        <v>0.01</v>
      </c>
      <c r="W24" s="793">
        <f>0.01*'État des Résultats'!W14</f>
        <v>983.31755000000021</v>
      </c>
      <c r="X24" s="657">
        <f>W24/'État des Résultats'!W14</f>
        <v>0.01</v>
      </c>
      <c r="Z24" s="793">
        <f>0.01*'État des Résultats'!Z14</f>
        <v>996.29660000000001</v>
      </c>
      <c r="AA24" s="657">
        <f>Z24/'État des Résultats'!Z14</f>
        <v>0.01</v>
      </c>
      <c r="AC24" s="793">
        <f>0.01*'État des Résultats'!AC14</f>
        <v>911.00570000000005</v>
      </c>
      <c r="AD24" s="657">
        <f>AC24/'État des Résultats'!AC14</f>
        <v>0.01</v>
      </c>
      <c r="AF24" s="793">
        <f>0.01*'État des Résultats'!AF14</f>
        <v>943.58631666666679</v>
      </c>
      <c r="AG24" s="657">
        <f>AF24/'État des Résultats'!AF14</f>
        <v>0.01</v>
      </c>
      <c r="AI24" s="793">
        <f>0.01*'État des Résultats'!AI14</f>
        <v>877.07051666666666</v>
      </c>
      <c r="AJ24" s="657">
        <f>AI24/'État des Résultats'!AI14</f>
        <v>0.01</v>
      </c>
      <c r="AL24" s="793">
        <f>0.01*'État des Résultats'!AL14</f>
        <v>974.71230000000014</v>
      </c>
      <c r="AM24" s="657">
        <f>AL24/'État des Résultats'!AL14</f>
        <v>0.01</v>
      </c>
      <c r="AP24" s="796">
        <f t="shared" si="0"/>
        <v>10545.280191666669</v>
      </c>
      <c r="AQ24" s="656">
        <f>AP24/'État des Résultats'!$AP$14</f>
        <v>1.0000000000000004E-2</v>
      </c>
    </row>
    <row r="25" spans="2:47" ht="14" thickBot="1" x14ac:dyDescent="0.2">
      <c r="B25" s="680" t="s">
        <v>2</v>
      </c>
      <c r="C25" s="681"/>
      <c r="D25" s="682"/>
      <c r="E25" s="843" t="s">
        <v>2</v>
      </c>
      <c r="F25" s="659" t="s">
        <v>2</v>
      </c>
      <c r="G25" s="682"/>
      <c r="H25" s="843" t="s">
        <v>2</v>
      </c>
      <c r="I25" s="659" t="s">
        <v>2</v>
      </c>
      <c r="J25" s="682"/>
      <c r="K25" s="843" t="s">
        <v>2</v>
      </c>
      <c r="L25" s="659" t="s">
        <v>2</v>
      </c>
      <c r="M25" s="682"/>
      <c r="N25" s="843"/>
      <c r="O25" s="659" t="s">
        <v>2</v>
      </c>
      <c r="P25" s="682"/>
      <c r="Q25" s="843" t="s">
        <v>2</v>
      </c>
      <c r="R25" s="659" t="s">
        <v>2</v>
      </c>
      <c r="S25" s="683"/>
      <c r="T25" s="843" t="s">
        <v>2</v>
      </c>
      <c r="U25" s="659" t="s">
        <v>2</v>
      </c>
      <c r="V25" s="682"/>
      <c r="W25" s="843" t="s">
        <v>2</v>
      </c>
      <c r="X25" s="659" t="s">
        <v>2</v>
      </c>
      <c r="Y25" s="682"/>
      <c r="Z25" s="843" t="s">
        <v>2</v>
      </c>
      <c r="AA25" s="659" t="s">
        <v>2</v>
      </c>
      <c r="AB25" s="682"/>
      <c r="AC25" s="843" t="s">
        <v>2</v>
      </c>
      <c r="AD25" s="659" t="s">
        <v>2</v>
      </c>
      <c r="AE25" s="682"/>
      <c r="AF25" s="843" t="s">
        <v>2</v>
      </c>
      <c r="AG25" s="659" t="str">
        <f>+AD25</f>
        <v xml:space="preserve"> </v>
      </c>
      <c r="AH25" s="682"/>
      <c r="AI25" s="843" t="s">
        <v>2</v>
      </c>
      <c r="AJ25" s="659" t="str">
        <f>+AG25</f>
        <v xml:space="preserve"> </v>
      </c>
      <c r="AK25" s="682"/>
      <c r="AL25" s="843" t="s">
        <v>2</v>
      </c>
      <c r="AM25" s="659" t="str">
        <f>+AJ25</f>
        <v xml:space="preserve"> </v>
      </c>
      <c r="AN25" s="682"/>
      <c r="AO25" s="682"/>
      <c r="AP25" s="796" t="s">
        <v>2</v>
      </c>
      <c r="AQ25" s="660" t="s">
        <v>2</v>
      </c>
      <c r="AR25" s="682"/>
    </row>
    <row r="26" spans="2:47" ht="15" thickTop="1" thickBot="1" x14ac:dyDescent="0.2">
      <c r="B26" s="469">
        <v>7300</v>
      </c>
      <c r="C26" s="470" t="s">
        <v>258</v>
      </c>
      <c r="D26" s="213"/>
      <c r="E26" s="795">
        <f>SUM(E13:E25)</f>
        <v>5959.7333333333336</v>
      </c>
      <c r="F26" s="662">
        <f>SUM(F13:F24)</f>
        <v>8.1655096821337217E-2</v>
      </c>
      <c r="G26" s="213"/>
      <c r="H26" s="844">
        <f>SUM(H13:H25)</f>
        <v>5914.8833333333332</v>
      </c>
      <c r="I26" s="662">
        <f>SUM(I13:I24)</f>
        <v>8.3609484880967797E-2</v>
      </c>
      <c r="J26" s="213"/>
      <c r="K26" s="795">
        <f>SUM(K13:K25)</f>
        <v>6076.65</v>
      </c>
      <c r="L26" s="662">
        <f>SUM(L13:L24)</f>
        <v>7.7083055846256299E-2</v>
      </c>
      <c r="M26" s="213"/>
      <c r="N26" s="795">
        <f>SUM(N13:N25)</f>
        <v>6154.7603500000005</v>
      </c>
      <c r="O26" s="662">
        <f>SUM(O13:O24)</f>
        <v>7.4388540310383916E-2</v>
      </c>
      <c r="P26" s="213"/>
      <c r="Q26" s="795">
        <f>SUM(Q13:Q25)</f>
        <v>6281.6213333333326</v>
      </c>
      <c r="R26" s="662">
        <f>SUM(R13:R24)</f>
        <v>7.0515784873104351E-2</v>
      </c>
      <c r="S26" s="213"/>
      <c r="T26" s="795">
        <f>SUM(T13:T25)</f>
        <v>6330.9340666666667</v>
      </c>
      <c r="U26" s="662">
        <f>SUM(U13:U24)</f>
        <v>6.9155238104150182E-2</v>
      </c>
      <c r="V26" s="213"/>
      <c r="W26" s="795">
        <f>SUM(W13:W25)</f>
        <v>6466.6350999999995</v>
      </c>
      <c r="X26" s="662">
        <f>SUM(X13:X24)</f>
        <v>6.5763446406504181E-2</v>
      </c>
      <c r="Y26" s="213"/>
      <c r="Z26" s="795">
        <f>SUM(Z13:Z25)</f>
        <v>6492.5931999999993</v>
      </c>
      <c r="AA26" s="662">
        <f>SUM(AA13:AA24)</f>
        <v>6.5167272476890914E-2</v>
      </c>
      <c r="AB26" s="213"/>
      <c r="AC26" s="795">
        <f>SUM(AC13:AC25)</f>
        <v>6322.0113999999994</v>
      </c>
      <c r="AD26" s="662">
        <f>SUM(AD13:AD24)</f>
        <v>6.9395958773913261E-2</v>
      </c>
      <c r="AE26" s="213"/>
      <c r="AF26" s="795">
        <f>SUM(AF13:AF25)</f>
        <v>6387.1726333333336</v>
      </c>
      <c r="AG26" s="662">
        <f>SUM(AG13:AG24)</f>
        <v>6.769039059295387E-2</v>
      </c>
      <c r="AH26" s="213"/>
      <c r="AI26" s="795">
        <f>SUM(AI13:AI25)</f>
        <v>6254.1410333333333</v>
      </c>
      <c r="AJ26" s="662">
        <f>SUM(AJ13:AJ24)</f>
        <v>7.1307163044339789E-2</v>
      </c>
      <c r="AK26" s="213"/>
      <c r="AL26" s="795">
        <f>SUM(AL13:AL25)</f>
        <v>6449.4246000000003</v>
      </c>
      <c r="AM26" s="662">
        <f>SUM(AM13:AM24)</f>
        <v>6.616746910857696E-2</v>
      </c>
      <c r="AN26" s="213"/>
      <c r="AO26" s="213"/>
      <c r="AP26" s="795">
        <f>SUM(AP13:AP25)</f>
        <v>75090.56038333333</v>
      </c>
      <c r="AQ26" s="662">
        <f>SUM(AQ13:AQ24)</f>
        <v>7.120774319744784E-2</v>
      </c>
      <c r="AR26" s="213"/>
      <c r="AS26" s="213"/>
      <c r="AT26" s="213"/>
      <c r="AU26" s="251"/>
    </row>
    <row r="27" spans="2:47" ht="14" thickTop="1" x14ac:dyDescent="0.15">
      <c r="L27" s="314"/>
      <c r="O27" s="314"/>
      <c r="R27" s="314"/>
      <c r="U27" s="314"/>
      <c r="X27" s="314"/>
      <c r="AA27" s="314"/>
      <c r="AD27" s="314"/>
      <c r="AG27" s="314"/>
      <c r="AJ27" s="314"/>
      <c r="AM27" s="314"/>
      <c r="AQ27" s="314"/>
    </row>
    <row r="28" spans="2:47" x14ac:dyDescent="0.15">
      <c r="R28" s="314"/>
      <c r="U28" s="314"/>
      <c r="X28" s="314"/>
      <c r="AD28" s="314"/>
      <c r="AG28" s="314"/>
      <c r="AJ28" s="314"/>
      <c r="AM28" s="314"/>
    </row>
    <row r="29" spans="2:47" x14ac:dyDescent="0.15">
      <c r="U29" s="314"/>
      <c r="AG29" s="314"/>
      <c r="AJ29" s="314"/>
      <c r="AM29" s="314"/>
    </row>
    <row r="30" spans="2:47" x14ac:dyDescent="0.15">
      <c r="C30" s="161" t="s">
        <v>2</v>
      </c>
      <c r="E30" s="161" t="s">
        <v>2</v>
      </c>
      <c r="G30" s="161" t="s">
        <v>2</v>
      </c>
      <c r="H30" s="161" t="s">
        <v>2</v>
      </c>
      <c r="U30" s="314"/>
      <c r="AG30" s="314"/>
      <c r="AJ30" s="314"/>
      <c r="AM30" s="314"/>
    </row>
    <row r="31" spans="2:47" x14ac:dyDescent="0.15">
      <c r="H31" s="161" t="s">
        <v>2</v>
      </c>
      <c r="AG31" s="314"/>
      <c r="AJ31" s="314"/>
      <c r="AM31" s="314"/>
    </row>
    <row r="32" spans="2:47" x14ac:dyDescent="0.15">
      <c r="H32" s="161" t="s">
        <v>2</v>
      </c>
      <c r="AM32" s="314"/>
    </row>
    <row r="33" spans="8:69" x14ac:dyDescent="0.15">
      <c r="H33" s="161" t="s">
        <v>2</v>
      </c>
      <c r="BB33" s="170"/>
      <c r="BC33" s="170"/>
      <c r="BD33" s="170"/>
      <c r="BE33" s="170"/>
      <c r="BF33" s="170"/>
      <c r="BG33" s="170"/>
      <c r="BH33" s="170"/>
      <c r="BI33" s="170"/>
      <c r="BJ33" s="170"/>
      <c r="BK33" s="170"/>
      <c r="BL33" s="170"/>
      <c r="BM33" s="170"/>
      <c r="BN33" s="170"/>
      <c r="BO33" s="170"/>
      <c r="BP33" s="170"/>
      <c r="BQ33" s="170"/>
    </row>
    <row r="34" spans="8:69" x14ac:dyDescent="0.15">
      <c r="H34" s="161" t="s">
        <v>2</v>
      </c>
    </row>
    <row r="35" spans="8:69" x14ac:dyDescent="0.15">
      <c r="H35" s="161" t="s">
        <v>2</v>
      </c>
    </row>
    <row r="45" spans="8:69" x14ac:dyDescent="0.15">
      <c r="H45" s="663"/>
    </row>
  </sheetData>
  <sheetProtection algorithmName="SHA-512" hashValue="pfyrzo0yiCZlRxl+5SCyuKXn6VoSybM5pT5HCuGoNm3YLiooA8Nw/ohRz2xq8yQrAWK2Y5f7P4yCNwKWeFzQow==" saltValue="FNUU1cDZdt/CCnd2gMP/rw==" spinCount="100000" sheet="1" objects="1" scenarios="1"/>
  <mergeCells count="9">
    <mergeCell ref="B9:C9"/>
    <mergeCell ref="AS2:AS8"/>
    <mergeCell ref="BC2:BC8"/>
    <mergeCell ref="B2:C2"/>
    <mergeCell ref="B3:C3"/>
    <mergeCell ref="B4:C4"/>
    <mergeCell ref="B6:C6"/>
    <mergeCell ref="B7:C7"/>
    <mergeCell ref="B8:C8"/>
  </mergeCells>
  <hyperlinks>
    <hyperlink ref="C11" r:id="rId1" xr:uid="{96583F5F-4FF8-BB42-8149-1BDD526C7D51}"/>
  </hyperlink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22</vt:i4>
      </vt:variant>
      <vt:variant>
        <vt:lpstr>Plages nommées</vt:lpstr>
      </vt:variant>
      <vt:variant>
        <vt:i4>14</vt:i4>
      </vt:variant>
    </vt:vector>
  </HeadingPairs>
  <TitlesOfParts>
    <vt:vector size="36" baseType="lpstr">
      <vt:lpstr>Calendrier 2021</vt:lpstr>
      <vt:lpstr>Achalandage 2021</vt:lpstr>
      <vt:lpstr>% Occupation</vt:lpstr>
      <vt:lpstr>Formule pour le calcul D</vt:lpstr>
      <vt:lpstr>Calcul CmO et PmO</vt:lpstr>
      <vt:lpstr>Coût marchandises vendues</vt:lpstr>
      <vt:lpstr> Total des coûts de MO</vt:lpstr>
      <vt:lpstr>Salaire (planification)</vt:lpstr>
      <vt:lpstr>Coût d'occupation </vt:lpstr>
      <vt:lpstr>Coût direct d'exploitation </vt:lpstr>
      <vt:lpstr>Musique &amp; Divertissement</vt:lpstr>
      <vt:lpstr>Mark &amp; Communication marketing</vt:lpstr>
      <vt:lpstr>Services publics</vt:lpstr>
      <vt:lpstr>Administration &amp; Frais généraux</vt:lpstr>
      <vt:lpstr>Entretien &amp; Réparation</vt:lpstr>
      <vt:lpstr>Frais financier</vt:lpstr>
      <vt:lpstr>Amortissement</vt:lpstr>
      <vt:lpstr>État des Résultats</vt:lpstr>
      <vt:lpstr>Bilan début-fin</vt:lpstr>
      <vt:lpstr>Tableau de trésorerie</vt:lpstr>
      <vt:lpstr>Ind. de performance</vt:lpstr>
      <vt:lpstr>Questions</vt:lpstr>
      <vt:lpstr>' Total des coûts de MO'!Zone_d_impression</vt:lpstr>
      <vt:lpstr>'Administration &amp; Frais généraux'!Zone_d_impression</vt:lpstr>
      <vt:lpstr>Amortissement!Zone_d_impression</vt:lpstr>
      <vt:lpstr>'Bilan début-fin'!Zone_d_impression</vt:lpstr>
      <vt:lpstr>'Coût d''occupation '!Zone_d_impression</vt:lpstr>
      <vt:lpstr>'Coût direct d''exploitation '!Zone_d_impression</vt:lpstr>
      <vt:lpstr>'Coût marchandises vendues'!Zone_d_impression</vt:lpstr>
      <vt:lpstr>'Entretien &amp; Réparation'!Zone_d_impression</vt:lpstr>
      <vt:lpstr>'État des Résultats'!Zone_d_impression</vt:lpstr>
      <vt:lpstr>'Frais financier'!Zone_d_impression</vt:lpstr>
      <vt:lpstr>'Mark &amp; Communication marketing'!Zone_d_impression</vt:lpstr>
      <vt:lpstr>'Musique &amp; Divertissement'!Zone_d_impression</vt:lpstr>
      <vt:lpstr>'Salaire (planification)'!Zone_d_impression</vt:lpstr>
      <vt:lpstr>'Services publics'!Zone_d_impression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Latour</dc:creator>
  <cp:lastModifiedBy>Microsoft Office User</cp:lastModifiedBy>
  <dcterms:created xsi:type="dcterms:W3CDTF">2017-10-22T15:36:14Z</dcterms:created>
  <dcterms:modified xsi:type="dcterms:W3CDTF">2021-06-08T20:22:46Z</dcterms:modified>
</cp:coreProperties>
</file>